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150" windowHeight="9210" tabRatio="597" firstSheet="22" activeTab="32"/>
  </bookViews>
  <sheets>
    <sheet name="3312014" sheetId="1" r:id="rId1"/>
    <sheet name="8312014" sheetId="2" r:id="rId2"/>
    <sheet name="12312014" sheetId="3" r:id="rId3"/>
    <sheet name="2282015" sheetId="4" r:id="rId4"/>
    <sheet name="3312015" sheetId="5" r:id="rId5"/>
    <sheet name="6302015" sheetId="6" r:id="rId6"/>
    <sheet name="8312015" sheetId="7" r:id="rId7"/>
    <sheet name="10312015" sheetId="8" r:id="rId8"/>
    <sheet name="05312016" sheetId="9" r:id="rId9"/>
    <sheet name="06302016" sheetId="10" r:id="rId10"/>
    <sheet name="12312016" sheetId="11" r:id="rId11"/>
    <sheet name="01312017" sheetId="12" r:id="rId12"/>
    <sheet name="08312017" sheetId="13" r:id="rId13"/>
    <sheet name="12312017" sheetId="14" r:id="rId14"/>
    <sheet name="10312018" sheetId="15" r:id="rId15"/>
    <sheet name="02282019" sheetId="16" r:id="rId16"/>
    <sheet name="06302019" sheetId="17" r:id="rId17"/>
    <sheet name="11302019" sheetId="18" r:id="rId18"/>
    <sheet name="04302020" sheetId="19" r:id="rId19"/>
    <sheet name="06302020" sheetId="20" r:id="rId20"/>
    <sheet name="10312020" sheetId="21" r:id="rId21"/>
    <sheet name="02282021" sheetId="22" r:id="rId22"/>
    <sheet name="04302021" sheetId="23" r:id="rId23"/>
    <sheet name="06302021" sheetId="24" r:id="rId24"/>
    <sheet name="08312021" sheetId="25" r:id="rId25"/>
    <sheet name="10312021" sheetId="26" r:id="rId26"/>
    <sheet name="12312021" sheetId="27" r:id="rId27"/>
    <sheet name="02282022" sheetId="28" r:id="rId28"/>
    <sheet name="04302022" sheetId="29" r:id="rId29"/>
    <sheet name="06302022" sheetId="30" r:id="rId30"/>
    <sheet name="08312022" sheetId="31" r:id="rId31"/>
    <sheet name="10312022" sheetId="32" r:id="rId32"/>
    <sheet name="12312022" sheetId="33" r:id="rId33"/>
  </sheets>
  <definedNames/>
  <calcPr fullCalcOnLoad="1"/>
</workbook>
</file>

<file path=xl/sharedStrings.xml><?xml version="1.0" encoding="utf-8"?>
<sst xmlns="http://schemas.openxmlformats.org/spreadsheetml/2006/main" count="2414" uniqueCount="157">
  <si>
    <t>St. Maria Goretti Parish</t>
  </si>
  <si>
    <t>Collections (for Parish use)</t>
  </si>
  <si>
    <t>Socials, Donations, Fees</t>
  </si>
  <si>
    <t>Religious Education Programs</t>
  </si>
  <si>
    <t>Total Ordinary Income</t>
  </si>
  <si>
    <t xml:space="preserve">      Financial Activity Report</t>
  </si>
  <si>
    <t>Church and related</t>
  </si>
  <si>
    <t>Actual</t>
  </si>
  <si>
    <t>Budget</t>
  </si>
  <si>
    <t xml:space="preserve">   Administration </t>
  </si>
  <si>
    <t xml:space="preserve">   Religious Education</t>
  </si>
  <si>
    <t xml:space="preserve">   Operating expense and other</t>
  </si>
  <si>
    <r>
      <t xml:space="preserve">   </t>
    </r>
    <r>
      <rPr>
        <sz val="10"/>
        <rFont val="Arial"/>
        <family val="2"/>
      </rPr>
      <t>Payroll taxes and benefits</t>
    </r>
  </si>
  <si>
    <t>____________________________________________________________________</t>
  </si>
  <si>
    <t xml:space="preserve">___________________________________________________________  </t>
  </si>
  <si>
    <t xml:space="preserve">   Total Church and related expense</t>
  </si>
  <si>
    <t xml:space="preserve">Total School &amp; related expense </t>
  </si>
  <si>
    <t xml:space="preserve">   Loan payments</t>
  </si>
  <si>
    <t xml:space="preserve"> </t>
  </si>
  <si>
    <t>Church Income</t>
  </si>
  <si>
    <t>Revenue</t>
  </si>
  <si>
    <t>Expense</t>
  </si>
  <si>
    <t>NET OPERATING GAIN/(LOSS)</t>
  </si>
  <si>
    <t>Prior</t>
  </si>
  <si>
    <t xml:space="preserve"> Budget Deviation</t>
  </si>
  <si>
    <t xml:space="preserve">   Additions to Church</t>
  </si>
  <si>
    <t>HOF-VOH Transfers</t>
  </si>
  <si>
    <t>Current Yr.  Deviation</t>
  </si>
  <si>
    <t xml:space="preserve">   Subsidy Payments</t>
  </si>
  <si>
    <t>Other Receipts</t>
  </si>
  <si>
    <t>Other Church Income</t>
  </si>
  <si>
    <t>Rent &amp; Interest</t>
  </si>
  <si>
    <t xml:space="preserve">   Diocesan Assessments</t>
  </si>
  <si>
    <t xml:space="preserve">   Professional Services, Supplies, etc.</t>
  </si>
  <si>
    <t>Total Revenue</t>
  </si>
  <si>
    <t>School Subsidy/Assistance</t>
  </si>
  <si>
    <t>Total Church &amp; Subsidy Expenses</t>
  </si>
  <si>
    <t>.</t>
  </si>
  <si>
    <t>7/1/2014-8/31/2014</t>
  </si>
  <si>
    <t>7/1/2013-8/31/2013</t>
  </si>
  <si>
    <r>
      <t xml:space="preserve"> </t>
    </r>
    <r>
      <rPr>
        <sz val="10"/>
        <rFont val="Arial"/>
        <family val="2"/>
      </rPr>
      <t xml:space="preserve">  Maintenance</t>
    </r>
  </si>
  <si>
    <t xml:space="preserve">   Utilities </t>
  </si>
  <si>
    <t>7/1/2014-10/31/2014</t>
  </si>
  <si>
    <t>7/1/2013-10/31/2013</t>
  </si>
  <si>
    <t>7/1/2014-2/28/2015</t>
  </si>
  <si>
    <t>7/1/2013-2/28/2014</t>
  </si>
  <si>
    <t>7/1/2014-3/31/2015</t>
  </si>
  <si>
    <t>7/1/2013-3/31/2014</t>
  </si>
  <si>
    <t>7/1/2014-6/30/2015</t>
  </si>
  <si>
    <t>7/1/2013-6/30/2014</t>
  </si>
  <si>
    <t>7/1/2015-8/31/2015</t>
  </si>
  <si>
    <t>7/1/2015-10/31/2015</t>
  </si>
  <si>
    <t>7/1/2015-05/31/2016</t>
  </si>
  <si>
    <t>7/1/2014-05/31/2015</t>
  </si>
  <si>
    <t>7/1/2016-08/31/2016</t>
  </si>
  <si>
    <t>7/1/2015-08/31/2015</t>
  </si>
  <si>
    <t xml:space="preserve">      Financial Performance Report</t>
  </si>
  <si>
    <t>7/1/2016-12/31/2016</t>
  </si>
  <si>
    <t>7/1/2015-12/31/2015</t>
  </si>
  <si>
    <t>7/1/2016-01/31/2017</t>
  </si>
  <si>
    <t>7/1/2015-01/31/2016</t>
  </si>
  <si>
    <t>7/1/2017-08/31/2017</t>
  </si>
  <si>
    <t>Additions to Church and School</t>
  </si>
  <si>
    <t>Additions to School and Parish Center (School Renovations/MDCC)</t>
  </si>
  <si>
    <t>7/1/2017-12/31/2017</t>
  </si>
  <si>
    <t>Additions to Church &amp; Rectory (Church Roof, Parish Truck,</t>
  </si>
  <si>
    <t>Church Lighting)</t>
  </si>
  <si>
    <t>Proposed Capital Projects, Estimated Costs, Not Included In Operating Budget</t>
  </si>
  <si>
    <t>Church Roof Replacement</t>
  </si>
  <si>
    <t>Parish Center Boiler Replacement</t>
  </si>
  <si>
    <t>Church &amp; Parking Lot LED</t>
  </si>
  <si>
    <t>Education Center, Mater Dei Renovations</t>
  </si>
  <si>
    <t>Parish Truck</t>
  </si>
  <si>
    <t>HOF-VOH Withdrawals</t>
  </si>
  <si>
    <t>Miscellaneous Notes</t>
  </si>
  <si>
    <t>7/1/2018-10/31/2018</t>
  </si>
  <si>
    <t>7/1/2017-10/31/2018</t>
  </si>
  <si>
    <t>Not Including Capex</t>
  </si>
  <si>
    <t>7/1/2018-4/30/2019</t>
  </si>
  <si>
    <t>7/1/2017-4/30/2018</t>
  </si>
  <si>
    <t>7/1/2018-6/30/2019</t>
  </si>
  <si>
    <t>7/1/2017-6/30/2018</t>
  </si>
  <si>
    <t>Church Pew Refurbishment</t>
  </si>
  <si>
    <t>Education Center Renovations</t>
  </si>
  <si>
    <t>School Electrical</t>
  </si>
  <si>
    <t>TBD</t>
  </si>
  <si>
    <t>DH/Kitchen Electric</t>
  </si>
  <si>
    <t>DH HVAC</t>
  </si>
  <si>
    <t>Classroom HVAC</t>
  </si>
  <si>
    <t>Kitchen</t>
  </si>
  <si>
    <t>Parking Lot Expansion</t>
  </si>
  <si>
    <t>Church Hymnals</t>
  </si>
  <si>
    <t>TV's &amp; Cameras In Narthex</t>
  </si>
  <si>
    <t>LED  Lighting Completion</t>
  </si>
  <si>
    <t>Parish Library Flooring</t>
  </si>
  <si>
    <t>Drexel Hall Stage Flooring</t>
  </si>
  <si>
    <t>Church Ceiling Repair/Paint</t>
  </si>
  <si>
    <t>Rectory 1st Floor Bathroom</t>
  </si>
  <si>
    <t>Church Sanctuary Railings</t>
  </si>
  <si>
    <t>Parking Lot Entrance Repair</t>
  </si>
  <si>
    <t>Parish Center Painting</t>
  </si>
  <si>
    <t>Proposed Projects, Estimated Costs, Included In Operating 2019-2020 Budget</t>
  </si>
  <si>
    <t>7/1/2019-11/30/2019</t>
  </si>
  <si>
    <t>7/1/2018-11/30/2018</t>
  </si>
  <si>
    <t>7/1/2019-4/30/2020</t>
  </si>
  <si>
    <t>7/1/2019-6/30/2020</t>
  </si>
  <si>
    <r>
      <t xml:space="preserve">   </t>
    </r>
    <r>
      <rPr>
        <sz val="10"/>
        <rFont val="Arial"/>
        <family val="2"/>
      </rPr>
      <t>Payroll taxes and benefits</t>
    </r>
  </si>
  <si>
    <t>Parish Center Renovations</t>
  </si>
  <si>
    <t>Agreed Upon Procdures Audit</t>
  </si>
  <si>
    <t>Proposed Projects, Estimated Costs, Included In Operating 2020-2021 Budget</t>
  </si>
  <si>
    <t>7/1/2020-12/31/2020</t>
  </si>
  <si>
    <t>7/1/2019-12/31/2019</t>
  </si>
  <si>
    <t>7/1/2020-2/28/2021</t>
  </si>
  <si>
    <t>7/1/2019-2/29/2020</t>
  </si>
  <si>
    <t>7/1/2020-4/30/2021</t>
  </si>
  <si>
    <t>7/1/2020-6/30/2021</t>
  </si>
  <si>
    <t>7/1/2021-8/31/2021</t>
  </si>
  <si>
    <t>7/1/2020-8/31/2020</t>
  </si>
  <si>
    <t>Church Bathroom Renovations</t>
  </si>
  <si>
    <t>Rectory Bathroom Renovations</t>
  </si>
  <si>
    <t>Security Camera Completion</t>
  </si>
  <si>
    <t>Rectory Appliance Replacements</t>
  </si>
  <si>
    <t>Parking Lot LED Completion</t>
  </si>
  <si>
    <t>Pavment/Walkway Repairs</t>
  </si>
  <si>
    <t>Church Miscellaneous Maintenance</t>
  </si>
  <si>
    <t>Education Center Miscellaneous Maintenance</t>
  </si>
  <si>
    <t>Rectory Miscellaneous Maintenance</t>
  </si>
  <si>
    <t>Parish Center Miscellaneous Maintenance</t>
  </si>
  <si>
    <t>Proposed Projects, Estimated Costs, Included In Operating 2021-2022 Budget</t>
  </si>
  <si>
    <t>7/1/2021-10/31/2021</t>
  </si>
  <si>
    <t>7/1/2020-10/31/2020</t>
  </si>
  <si>
    <t>7/1/2021-12/31/2021</t>
  </si>
  <si>
    <t>7/1/2021-2/28/2022</t>
  </si>
  <si>
    <t>7/1/2021-4/30/2022</t>
  </si>
  <si>
    <t>7/1/2021-6/30/2022</t>
  </si>
  <si>
    <t>7/1/2022-8/31/2022</t>
  </si>
  <si>
    <t>Proposed Projects, Estimated Costs, Included In Operating 2022-2023 Budget</t>
  </si>
  <si>
    <t>#1</t>
  </si>
  <si>
    <t>#2</t>
  </si>
  <si>
    <t>Rectory Bathroom &amp; Misc. Renovations</t>
  </si>
  <si>
    <t>#3</t>
  </si>
  <si>
    <t>Security Camera System  (Exterior)</t>
  </si>
  <si>
    <t>#4</t>
  </si>
  <si>
    <t>Agreed Upon Procedures</t>
  </si>
  <si>
    <t>#5</t>
  </si>
  <si>
    <t>Pavement/Walkway Repairs</t>
  </si>
  <si>
    <t>#6</t>
  </si>
  <si>
    <t>Church Miecellaneous Maintenance</t>
  </si>
  <si>
    <t>#7</t>
  </si>
  <si>
    <t>Education Center Misc. Maintenance</t>
  </si>
  <si>
    <t>#8</t>
  </si>
  <si>
    <t>Rectory Misc. Maintenance</t>
  </si>
  <si>
    <t>#9</t>
  </si>
  <si>
    <t>Parish Center Misc. Maintenance</t>
  </si>
  <si>
    <t>#10</t>
  </si>
  <si>
    <t>7/1/2022-10/31/2022</t>
  </si>
  <si>
    <t>7/1/2022-12/31/2022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</si>
</sst>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mm/dd/yy"/>
    <numFmt numFmtId="167" formatCode="&quot;$&quot;#,##0.00"/>
    <numFmt numFmtId="168" formatCode="&quot;$&quot;#,##0.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64" fontId="7" fillId="34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0" fillId="0" borderId="10" xfId="0" applyBorder="1" applyAlignment="1">
      <alignment/>
    </xf>
    <xf numFmtId="164" fontId="3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4" fontId="3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6" borderId="0" xfId="0" applyFont="1" applyFill="1" applyAlignment="1">
      <alignment/>
    </xf>
    <xf numFmtId="0" fontId="3" fillId="0" borderId="11" xfId="0" applyFont="1" applyBorder="1" applyAlignment="1">
      <alignment/>
    </xf>
    <xf numFmtId="164" fontId="9" fillId="1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1" fillId="19" borderId="0" xfId="0" applyFont="1" applyFill="1" applyAlignment="1">
      <alignment/>
    </xf>
    <xf numFmtId="0" fontId="52" fillId="19" borderId="0" xfId="0" applyFont="1" applyFill="1" applyAlignment="1">
      <alignment/>
    </xf>
    <xf numFmtId="0" fontId="0" fillId="19" borderId="0" xfId="0" applyFill="1" applyAlignment="1">
      <alignment/>
    </xf>
    <xf numFmtId="164" fontId="7" fillId="19" borderId="0" xfId="0" applyNumberFormat="1" applyFont="1" applyFill="1" applyAlignment="1">
      <alignment/>
    </xf>
    <xf numFmtId="164" fontId="3" fillId="19" borderId="0" xfId="0" applyNumberFormat="1" applyFont="1" applyFill="1" applyAlignment="1">
      <alignment/>
    </xf>
    <xf numFmtId="0" fontId="3" fillId="19" borderId="0" xfId="0" applyFont="1" applyFill="1" applyAlignment="1">
      <alignment/>
    </xf>
    <xf numFmtId="0" fontId="0" fillId="37" borderId="0" xfId="0" applyFill="1" applyAlignment="1">
      <alignment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164" fontId="7" fillId="37" borderId="0" xfId="0" applyNumberFormat="1" applyFont="1" applyFill="1" applyAlignment="1">
      <alignment/>
    </xf>
    <xf numFmtId="16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64" fontId="0" fillId="37" borderId="0" xfId="0" applyNumberFormat="1" applyFill="1" applyAlignment="1">
      <alignment/>
    </xf>
    <xf numFmtId="171" fontId="0" fillId="0" borderId="0" xfId="44" applyNumberFormat="1" applyFont="1" applyAlignment="1">
      <alignment/>
    </xf>
    <xf numFmtId="171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Alignment="1">
      <alignment/>
    </xf>
    <xf numFmtId="4" fontId="52" fillId="0" borderId="0" xfId="0" applyNumberFormat="1" applyFont="1" applyFill="1" applyAlignment="1">
      <alignment horizontal="right"/>
    </xf>
    <xf numFmtId="4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 horizontal="center" vertical="top"/>
    </xf>
    <xf numFmtId="0" fontId="52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41893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38</v>
      </c>
      <c r="J5" s="23"/>
      <c r="K5" s="23" t="s">
        <v>39</v>
      </c>
      <c r="L5" s="23"/>
      <c r="M5" s="26" t="s">
        <v>27</v>
      </c>
      <c r="O5" s="23" t="s">
        <v>38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194442.87+23279.54+2100</f>
        <v>219822.41</v>
      </c>
      <c r="J8" s="4"/>
      <c r="K8" s="4">
        <f>167128.96+25902.79+2100</f>
        <v>195131.75</v>
      </c>
      <c r="L8" s="4"/>
      <c r="M8" s="4">
        <f aca="true" t="shared" si="0" ref="M8:M14">SUM(I8-K8)</f>
        <v>24690.660000000003</v>
      </c>
      <c r="O8" s="4">
        <f>166094.12+21990.89+2075.02</f>
        <v>190160.03</v>
      </c>
      <c r="Q8" s="4">
        <f aca="true" t="shared" si="1" ref="Q8:Q14">SUM(I8-O8)</f>
        <v>29662.380000000005</v>
      </c>
      <c r="S8" s="4"/>
      <c r="X8" s="4"/>
    </row>
    <row r="9" spans="4:24" ht="12.75">
      <c r="D9" t="s">
        <v>2</v>
      </c>
      <c r="G9" s="4"/>
      <c r="I9" s="4">
        <f>53084.31-41466.66</f>
        <v>11617.649999999994</v>
      </c>
      <c r="J9" s="4"/>
      <c r="K9" s="4">
        <f>85153.04-80491.64</f>
        <v>4661.399999999994</v>
      </c>
      <c r="L9" s="4"/>
      <c r="M9" s="4">
        <f t="shared" si="0"/>
        <v>6956.25</v>
      </c>
      <c r="O9" s="4">
        <f>86677.15-79053.56</f>
        <v>7623.5899999999965</v>
      </c>
      <c r="Q9" s="4">
        <f t="shared" si="1"/>
        <v>3994.0599999999977</v>
      </c>
      <c r="S9" s="4"/>
      <c r="X9" s="4"/>
    </row>
    <row r="10" spans="4:24" ht="12.75">
      <c r="D10" t="s">
        <v>3</v>
      </c>
      <c r="G10" s="4"/>
      <c r="I10" s="4">
        <f>32454.24</f>
        <v>32454.24</v>
      </c>
      <c r="J10" s="4"/>
      <c r="K10" s="4">
        <v>33048.68</v>
      </c>
      <c r="L10" s="4"/>
      <c r="M10" s="4">
        <f t="shared" si="0"/>
        <v>-594.4399999999987</v>
      </c>
      <c r="O10" s="4">
        <f>8807.69</f>
        <v>8807.69</v>
      </c>
      <c r="Q10" s="4">
        <f t="shared" si="1"/>
        <v>23646.550000000003</v>
      </c>
      <c r="S10" s="4"/>
      <c r="X10" s="4"/>
    </row>
    <row r="11" spans="4:24" ht="12.75">
      <c r="D11" t="s">
        <v>31</v>
      </c>
      <c r="G11" s="4"/>
      <c r="I11" s="4">
        <v>5229</v>
      </c>
      <c r="J11" s="4"/>
      <c r="K11" s="4">
        <v>5546.86</v>
      </c>
      <c r="L11" s="4"/>
      <c r="M11" s="4">
        <f t="shared" si="0"/>
        <v>-317.8599999999997</v>
      </c>
      <c r="O11" s="4">
        <f>5655.73</f>
        <v>5655.73</v>
      </c>
      <c r="Q11" s="4">
        <f t="shared" si="1"/>
        <v>-426.72999999999956</v>
      </c>
      <c r="S11" s="4"/>
      <c r="X11" s="4"/>
    </row>
    <row r="12" spans="4:24" ht="12.75">
      <c r="D12" t="s">
        <v>30</v>
      </c>
      <c r="G12" s="4"/>
      <c r="I12" s="4">
        <v>6008.09</v>
      </c>
      <c r="J12" s="4"/>
      <c r="K12" s="4">
        <v>6017.83</v>
      </c>
      <c r="L12" s="4"/>
      <c r="M12" s="4">
        <f t="shared" si="0"/>
        <v>-9.739999999999782</v>
      </c>
      <c r="O12" s="4">
        <f>6021.46</f>
        <v>6021.46</v>
      </c>
      <c r="Q12" s="4">
        <f t="shared" si="1"/>
        <v>-13.36999999999989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275131.39</v>
      </c>
      <c r="J16" s="5"/>
      <c r="K16" s="5">
        <f>SUM(K8:K14)</f>
        <v>244406.51999999996</v>
      </c>
      <c r="L16" s="5"/>
      <c r="M16" s="4">
        <f>SUM(I16-K16)</f>
        <v>30724.870000000054</v>
      </c>
      <c r="N16" s="5"/>
      <c r="O16" s="5">
        <f>SUM(O8:O14)</f>
        <v>218268.5</v>
      </c>
      <c r="Q16" s="5">
        <f>SUM(Q8:Q14)</f>
        <v>56862.89000000001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275131.39</v>
      </c>
      <c r="J19" s="19"/>
      <c r="K19" s="19">
        <f>K16</f>
        <v>244406.51999999996</v>
      </c>
      <c r="L19" s="19"/>
      <c r="M19" s="19">
        <f>M16</f>
        <v>30724.870000000054</v>
      </c>
      <c r="N19" s="17"/>
      <c r="O19" s="19">
        <f>O16</f>
        <v>218268.5</v>
      </c>
      <c r="P19" s="17"/>
      <c r="Q19" s="33">
        <f>SUM(I19-O19)</f>
        <v>56862.890000000014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25250</f>
        <v>25250</v>
      </c>
      <c r="J23" s="4"/>
      <c r="K23" s="4">
        <v>0</v>
      </c>
      <c r="L23" s="4"/>
      <c r="M23" s="4">
        <f aca="true" t="shared" si="2" ref="M23:M28">SUM(K23-I23)</f>
        <v>-25250</v>
      </c>
      <c r="O23" s="4">
        <v>0</v>
      </c>
      <c r="Q23" s="4">
        <f aca="true" t="shared" si="3" ref="Q23:Q28">SUM(O23-I23)</f>
        <v>-25250</v>
      </c>
      <c r="S23" s="4"/>
      <c r="X23" s="4"/>
    </row>
    <row r="24" spans="3:24" ht="12.75">
      <c r="C24" t="s">
        <v>9</v>
      </c>
      <c r="G24" s="4"/>
      <c r="I24" s="4">
        <f>9373.13+59462.98+2624.46</f>
        <v>71460.57</v>
      </c>
      <c r="J24" s="4"/>
      <c r="K24" s="4">
        <f>9624.55+57803.75+6097</f>
        <v>73525.3</v>
      </c>
      <c r="L24" s="4"/>
      <c r="M24" s="4">
        <f t="shared" si="2"/>
        <v>2064.729999999996</v>
      </c>
      <c r="O24" s="4">
        <f>10173.45+57812.4+6708.2</f>
        <v>74694.05</v>
      </c>
      <c r="Q24" s="4">
        <f t="shared" si="3"/>
        <v>3233.479999999996</v>
      </c>
      <c r="S24" s="4"/>
      <c r="X24" s="4"/>
    </row>
    <row r="25" spans="3:24" ht="12.75">
      <c r="C25" s="3" t="s">
        <v>12</v>
      </c>
      <c r="G25" s="4"/>
      <c r="I25" s="4">
        <f>18034.26</f>
        <v>18034.26</v>
      </c>
      <c r="J25" s="4"/>
      <c r="K25" s="4">
        <f>9819.92</f>
        <v>9819.92</v>
      </c>
      <c r="L25" s="4"/>
      <c r="M25" s="4">
        <f t="shared" si="2"/>
        <v>-8214.339999999998</v>
      </c>
      <c r="O25" s="4">
        <f>10266.83</f>
        <v>10266.83</v>
      </c>
      <c r="Q25" s="4">
        <f t="shared" si="3"/>
        <v>-7767.4299999999985</v>
      </c>
      <c r="S25" s="4"/>
      <c r="X25" s="4"/>
    </row>
    <row r="26" spans="3:24" ht="12.75">
      <c r="C26" t="s">
        <v>33</v>
      </c>
      <c r="G26" s="4"/>
      <c r="I26" s="4">
        <f>2425.2+2822.46+1102.73+4218.68</f>
        <v>10569.07</v>
      </c>
      <c r="J26" s="4"/>
      <c r="K26" s="4">
        <f>2599.59+2759.56+2210.02+1432.33</f>
        <v>9001.5</v>
      </c>
      <c r="L26" s="4"/>
      <c r="M26" s="4">
        <f t="shared" si="2"/>
        <v>-1567.5699999999997</v>
      </c>
      <c r="O26" s="4">
        <f>1582.12+2675.64+1470.39+2184.63</f>
        <v>7912.780000000001</v>
      </c>
      <c r="Q26" s="4">
        <f t="shared" si="3"/>
        <v>-2656.289999999999</v>
      </c>
      <c r="S26" s="4"/>
      <c r="X26" s="4"/>
    </row>
    <row r="27" spans="3:24" ht="12.75">
      <c r="C27" t="s">
        <v>10</v>
      </c>
      <c r="G27" s="4"/>
      <c r="I27" s="4">
        <v>12349.52</v>
      </c>
      <c r="J27" s="4"/>
      <c r="K27" s="4">
        <f>9992.98</f>
        <v>9992.98</v>
      </c>
      <c r="L27" s="4"/>
      <c r="M27" s="4">
        <f t="shared" si="2"/>
        <v>-2356.540000000001</v>
      </c>
      <c r="O27" s="4">
        <f>8933.31</f>
        <v>8933.31</v>
      </c>
      <c r="Q27" s="4">
        <f t="shared" si="3"/>
        <v>-3416.210000000001</v>
      </c>
      <c r="S27" s="4"/>
      <c r="X27" s="4"/>
    </row>
    <row r="28" spans="3:24" ht="12.75">
      <c r="C28" t="s">
        <v>11</v>
      </c>
      <c r="G28" s="4"/>
      <c r="I28" s="4">
        <f>3280.71</f>
        <v>3280.71</v>
      </c>
      <c r="J28" s="4"/>
      <c r="K28" s="4">
        <f>2516.48</f>
        <v>2516.48</v>
      </c>
      <c r="L28" s="4"/>
      <c r="M28" s="4">
        <f t="shared" si="2"/>
        <v>-764.23</v>
      </c>
      <c r="O28" s="4">
        <f>1710.3</f>
        <v>1710.3</v>
      </c>
      <c r="Q28" s="4">
        <f t="shared" si="3"/>
        <v>-1570.41</v>
      </c>
      <c r="S28" s="4"/>
      <c r="X28" s="4"/>
    </row>
    <row r="29" spans="3:24" ht="12.75">
      <c r="C29" s="3" t="s">
        <v>40</v>
      </c>
      <c r="G29" s="4"/>
      <c r="I29" s="4">
        <f>24209.98+7066.4</f>
        <v>31276.379999999997</v>
      </c>
      <c r="J29" s="4"/>
      <c r="K29" s="4">
        <f>18901.53+4357.05</f>
        <v>23258.579999999998</v>
      </c>
      <c r="L29" s="4"/>
      <c r="M29" s="4"/>
      <c r="O29" s="4">
        <f>26732.54+4871.34</f>
        <v>31603.88</v>
      </c>
      <c r="Q29" s="4"/>
      <c r="S29" s="4"/>
      <c r="X29" s="4"/>
    </row>
    <row r="30" spans="3:24" ht="12.75">
      <c r="C30" s="47" t="s">
        <v>41</v>
      </c>
      <c r="G30" s="4"/>
      <c r="I30" s="4">
        <f>19300.41</f>
        <v>19300.41</v>
      </c>
      <c r="J30" s="4"/>
      <c r="K30" s="4">
        <f>25925.35</f>
        <v>25925.35</v>
      </c>
      <c r="L30" s="4"/>
      <c r="M30" s="4">
        <f>SUM(K30-I30)</f>
        <v>6624.939999999999</v>
      </c>
      <c r="O30" s="4">
        <f>27811.47</f>
        <v>27811.47</v>
      </c>
      <c r="Q30" s="4">
        <f>SUM(O30-I30)</f>
        <v>8511.060000000001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6439.2</v>
      </c>
      <c r="L32" s="39"/>
      <c r="M32" s="4">
        <f>SUM(K32-I32)</f>
        <v>6439.2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191521.33</v>
      </c>
      <c r="J34" s="5"/>
      <c r="K34" s="5">
        <f>SUM(K23:K32)</f>
        <v>160479.31</v>
      </c>
      <c r="L34" s="5"/>
      <c r="M34" s="5">
        <f>SUM(M23:M32)</f>
        <v>-23024.220000000005</v>
      </c>
      <c r="N34" s="4"/>
      <c r="O34" s="5">
        <f>SUM(O23:O32)</f>
        <v>162932.62</v>
      </c>
      <c r="Q34" s="5">
        <f>SUM(Q23:Q32)</f>
        <v>-28916.210000000006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-500</v>
      </c>
      <c r="J37" s="4"/>
      <c r="K37" s="4">
        <v>1894</v>
      </c>
      <c r="L37" s="4"/>
      <c r="M37" s="4">
        <f>SUM(K37-I37)</f>
        <v>2394</v>
      </c>
      <c r="O37" s="4">
        <f>2741.66</f>
        <v>2741.66</v>
      </c>
      <c r="Q37" s="4">
        <f>SUM(O37-I37)</f>
        <v>3241.66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-500</v>
      </c>
      <c r="J39" s="10"/>
      <c r="K39" s="10">
        <f>SUM(K37:K37)</f>
        <v>1894</v>
      </c>
      <c r="L39" s="10"/>
      <c r="M39" s="4">
        <f>SUM(K39-I39)</f>
        <v>2394</v>
      </c>
      <c r="N39" s="10"/>
      <c r="O39" s="10">
        <f>SUM(O37:O37)</f>
        <v>2741.66</v>
      </c>
      <c r="Q39" s="4">
        <f>SUM(O39-I39)</f>
        <v>3241.66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191021.33</v>
      </c>
      <c r="J41" s="19"/>
      <c r="K41" s="19">
        <f>K34+K39</f>
        <v>162373.31</v>
      </c>
      <c r="L41" s="19"/>
      <c r="M41" s="45">
        <f>SUM(K41-I41)</f>
        <v>-28648.01999999999</v>
      </c>
      <c r="N41" s="17"/>
      <c r="O41" s="19">
        <f>O34+O39</f>
        <v>165674.28</v>
      </c>
      <c r="P41" s="17"/>
      <c r="Q41" s="19">
        <f>Q34+Q39</f>
        <v>-25674.550000000007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84110.06000000003</v>
      </c>
      <c r="J43" s="28"/>
      <c r="K43" s="28">
        <f>K19-K41</f>
        <v>82033.20999999996</v>
      </c>
      <c r="L43" s="28"/>
      <c r="M43" s="28">
        <f>SUM(M41+M19)</f>
        <v>2076.850000000064</v>
      </c>
      <c r="N43" s="34"/>
      <c r="O43" s="28">
        <f>O19-O41</f>
        <v>52594.22</v>
      </c>
      <c r="P43" s="34"/>
      <c r="Q43" s="28">
        <f>Q19+Q41</f>
        <v>31188.340000000007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42626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54</v>
      </c>
      <c r="J5" s="23"/>
      <c r="K5" s="23" t="s">
        <v>55</v>
      </c>
      <c r="L5" s="23"/>
      <c r="M5" s="26" t="s">
        <v>27</v>
      </c>
      <c r="O5" s="23" t="s">
        <v>54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188763.96+17848.1+4450</f>
        <v>211062.06</v>
      </c>
      <c r="J8" s="4"/>
      <c r="K8" s="4">
        <f>189623.14+25569.93+1350</f>
        <v>216543.07</v>
      </c>
      <c r="L8" s="4"/>
      <c r="M8" s="4">
        <f aca="true" t="shared" si="0" ref="M8:M14">SUM(I8-K8)</f>
        <v>-5481.010000000009</v>
      </c>
      <c r="O8" s="4">
        <f>204264.2+21489.87+1123.12</f>
        <v>226877.19</v>
      </c>
      <c r="Q8" s="4">
        <f aca="true" t="shared" si="1" ref="Q8:Q14">SUM(I8-O8)</f>
        <v>-15815.130000000005</v>
      </c>
      <c r="S8" s="4"/>
      <c r="U8" s="65"/>
      <c r="X8" s="4"/>
    </row>
    <row r="9" spans="4:24" ht="12.75">
      <c r="D9" t="s">
        <v>2</v>
      </c>
      <c r="G9" s="4"/>
      <c r="I9" s="4">
        <v>7673.79</v>
      </c>
      <c r="J9" s="4"/>
      <c r="K9" s="4">
        <v>16350.98</v>
      </c>
      <c r="L9" s="4"/>
      <c r="M9" s="4">
        <f t="shared" si="0"/>
        <v>-8677.189999999999</v>
      </c>
      <c r="O9" s="4">
        <v>21652.5</v>
      </c>
      <c r="Q9" s="4">
        <f t="shared" si="1"/>
        <v>-13978.71</v>
      </c>
      <c r="S9" s="4"/>
      <c r="U9" s="65"/>
      <c r="X9" s="4"/>
    </row>
    <row r="10" spans="4:24" ht="12.75">
      <c r="D10" t="s">
        <v>3</v>
      </c>
      <c r="G10" s="4"/>
      <c r="I10" s="4">
        <v>53720.28</v>
      </c>
      <c r="J10" s="4"/>
      <c r="K10" s="4">
        <v>39909.03</v>
      </c>
      <c r="L10" s="4"/>
      <c r="M10" s="4">
        <f t="shared" si="0"/>
        <v>13811.25</v>
      </c>
      <c r="O10" s="4">
        <v>26423.13</v>
      </c>
      <c r="Q10" s="4">
        <f t="shared" si="1"/>
        <v>27297.149999999998</v>
      </c>
      <c r="S10" s="4"/>
      <c r="U10" s="65"/>
      <c r="X10" s="4"/>
    </row>
    <row r="11" spans="4:24" ht="12.75">
      <c r="D11" t="s">
        <v>31</v>
      </c>
      <c r="G11" s="4"/>
      <c r="I11" s="4">
        <f>176.08+5275.19</f>
        <v>5451.2699999999995</v>
      </c>
      <c r="J11" s="4"/>
      <c r="K11" s="4">
        <f>249.83+3325.84</f>
        <v>3575.67</v>
      </c>
      <c r="L11" s="4"/>
      <c r="M11" s="4">
        <f t="shared" si="0"/>
        <v>1875.5999999999995</v>
      </c>
      <c r="O11" s="4">
        <f>304.24+1269.37</f>
        <v>1573.61</v>
      </c>
      <c r="Q11" s="4">
        <f t="shared" si="1"/>
        <v>3877.66</v>
      </c>
      <c r="S11" s="4"/>
      <c r="U11" s="65"/>
      <c r="X11" s="4"/>
    </row>
    <row r="12" spans="4:24" ht="12.75">
      <c r="D12" t="s">
        <v>30</v>
      </c>
      <c r="G12" s="4"/>
      <c r="I12" s="4">
        <v>24.97</v>
      </c>
      <c r="J12" s="4"/>
      <c r="K12" s="4">
        <v>38.8</v>
      </c>
      <c r="L12" s="4"/>
      <c r="M12" s="4">
        <f t="shared" si="0"/>
        <v>-13.829999999999998</v>
      </c>
      <c r="O12" s="4">
        <v>45.29</v>
      </c>
      <c r="Q12" s="4">
        <f t="shared" si="1"/>
        <v>-20.32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277932.37</v>
      </c>
      <c r="J16" s="5"/>
      <c r="K16" s="5">
        <f>SUM(K8:K14)</f>
        <v>276417.55</v>
      </c>
      <c r="L16" s="5"/>
      <c r="M16" s="5">
        <f>SUM(M8:M14)</f>
        <v>1514.8199999999915</v>
      </c>
      <c r="N16" s="5"/>
      <c r="O16" s="5">
        <f>SUM(O8:O14)</f>
        <v>276571.72</v>
      </c>
      <c r="Q16" s="5">
        <f>SUM(Q8:Q14)</f>
        <v>1360.649999999994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277932.37</v>
      </c>
      <c r="J19" s="61"/>
      <c r="K19" s="61">
        <f>K16</f>
        <v>276417.55</v>
      </c>
      <c r="L19" s="61"/>
      <c r="M19" s="61">
        <f>M16</f>
        <v>1514.8199999999915</v>
      </c>
      <c r="O19" s="61">
        <f>O16</f>
        <v>276571.72</v>
      </c>
      <c r="Q19" s="62">
        <f>SUM(I19-O19)</f>
        <v>1360.6500000000233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26533.26</v>
      </c>
      <c r="J23" s="4"/>
      <c r="K23" s="4">
        <v>25816.74</v>
      </c>
      <c r="L23" s="4"/>
      <c r="M23" s="4">
        <f aca="true" t="shared" si="2" ref="M23:M29">SUM(K23-I23)</f>
        <v>-716.5199999999968</v>
      </c>
      <c r="O23" s="4">
        <f>26757.83+1333.33</f>
        <v>28091.160000000003</v>
      </c>
      <c r="Q23" s="4">
        <f aca="true" t="shared" si="3" ref="Q23:Q29">SUM(O23-I23)</f>
        <v>1557.900000000005</v>
      </c>
      <c r="S23" s="4"/>
      <c r="U23" s="65"/>
      <c r="X23" s="4"/>
    </row>
    <row r="24" spans="3:24" ht="12.75">
      <c r="C24" t="s">
        <v>9</v>
      </c>
      <c r="G24" s="4"/>
      <c r="I24" s="4">
        <f>7739.64+71541.8+6789.8+3305.18</f>
        <v>89376.42</v>
      </c>
      <c r="J24" s="4"/>
      <c r="K24" s="4">
        <f>7970.6+59919.14+0+2423.18</f>
        <v>70312.92</v>
      </c>
      <c r="L24" s="4"/>
      <c r="M24" s="4">
        <f t="shared" si="2"/>
        <v>-19063.5</v>
      </c>
      <c r="O24" s="4">
        <f>8175.18+61800.26+0+2949.15</f>
        <v>72924.59</v>
      </c>
      <c r="Q24" s="4">
        <f t="shared" si="3"/>
        <v>-16451.83</v>
      </c>
      <c r="S24" s="4"/>
      <c r="U24" s="65"/>
      <c r="X24" s="4"/>
    </row>
    <row r="25" spans="3:24" ht="12.75">
      <c r="C25" s="3" t="s">
        <v>12</v>
      </c>
      <c r="G25" s="4"/>
      <c r="I25" s="4">
        <v>22729.56</v>
      </c>
      <c r="J25" s="4"/>
      <c r="K25" s="4">
        <v>18180.46</v>
      </c>
      <c r="L25" s="4"/>
      <c r="M25" s="4">
        <f t="shared" si="2"/>
        <v>-4549.100000000002</v>
      </c>
      <c r="O25" s="4">
        <v>19463.41</v>
      </c>
      <c r="Q25" s="4">
        <f t="shared" si="3"/>
        <v>-3266.1500000000015</v>
      </c>
      <c r="S25" s="4"/>
      <c r="U25" s="65"/>
      <c r="X25" s="4"/>
    </row>
    <row r="26" spans="3:24" ht="12.75">
      <c r="C26" t="s">
        <v>33</v>
      </c>
      <c r="G26" s="4"/>
      <c r="I26" s="4">
        <f>1497.15+2934.8+6797.41+2923.71</f>
        <v>14153.07</v>
      </c>
      <c r="J26" s="4" t="s">
        <v>18</v>
      </c>
      <c r="K26" s="4">
        <f>2344.91+2344.52+1965.24+2021.93</f>
        <v>8676.6</v>
      </c>
      <c r="L26" s="4"/>
      <c r="M26" s="4">
        <f t="shared" si="2"/>
        <v>-5476.469999999999</v>
      </c>
      <c r="O26" s="4">
        <f>4175.25+2518.39+1944.14+2238.2</f>
        <v>10875.98</v>
      </c>
      <c r="Q26" s="4">
        <f t="shared" si="3"/>
        <v>-3277.09</v>
      </c>
      <c r="S26" s="4"/>
      <c r="U26" s="65"/>
      <c r="X26" s="4"/>
    </row>
    <row r="27" spans="3:24" ht="12.75">
      <c r="C27" t="s">
        <v>10</v>
      </c>
      <c r="G27" s="4"/>
      <c r="I27" s="4">
        <v>28125.19</v>
      </c>
      <c r="J27" s="4"/>
      <c r="K27" s="4">
        <v>27908.63</v>
      </c>
      <c r="L27" s="4"/>
      <c r="M27" s="4">
        <f t="shared" si="2"/>
        <v>-216.55999999999767</v>
      </c>
      <c r="O27" s="4">
        <v>18284.7</v>
      </c>
      <c r="Q27" s="4">
        <f t="shared" si="3"/>
        <v>-9840.489999999998</v>
      </c>
      <c r="S27" s="4"/>
      <c r="U27" s="65"/>
      <c r="X27" s="4"/>
    </row>
    <row r="28" spans="3:24" ht="12.75">
      <c r="C28" t="s">
        <v>11</v>
      </c>
      <c r="G28" s="4"/>
      <c r="I28" s="4">
        <v>1430.52</v>
      </c>
      <c r="J28" s="4"/>
      <c r="K28" s="4">
        <v>1467.77</v>
      </c>
      <c r="L28" s="4"/>
      <c r="M28" s="4">
        <f t="shared" si="2"/>
        <v>37.25</v>
      </c>
      <c r="O28" s="4">
        <v>1573.64</v>
      </c>
      <c r="Q28" s="4">
        <f t="shared" si="3"/>
        <v>143.12000000000012</v>
      </c>
      <c r="S28" s="4"/>
      <c r="U28" s="65"/>
      <c r="X28" s="4"/>
    </row>
    <row r="29" spans="3:24" ht="12.75">
      <c r="C29" s="3" t="s">
        <v>40</v>
      </c>
      <c r="G29" s="4"/>
      <c r="I29" s="4">
        <v>11184.75</v>
      </c>
      <c r="J29" s="4"/>
      <c r="K29" s="4">
        <v>17139.95</v>
      </c>
      <c r="L29" s="4"/>
      <c r="M29" s="4">
        <f t="shared" si="2"/>
        <v>5955.200000000001</v>
      </c>
      <c r="O29" s="4">
        <v>20290.09</v>
      </c>
      <c r="Q29" s="4">
        <f t="shared" si="3"/>
        <v>9105.34</v>
      </c>
      <c r="S29" s="4"/>
      <c r="U29" s="65"/>
      <c r="X29" s="4"/>
    </row>
    <row r="30" spans="3:24" ht="12.75">
      <c r="C30" s="47" t="s">
        <v>41</v>
      </c>
      <c r="G30" s="4"/>
      <c r="I30" s="4">
        <v>15939.34</v>
      </c>
      <c r="J30" s="4"/>
      <c r="K30" s="4">
        <v>15137.81</v>
      </c>
      <c r="L30" s="4"/>
      <c r="M30" s="4">
        <f>SUM(K30-I30)</f>
        <v>-801.5300000000007</v>
      </c>
      <c r="O30" s="4">
        <v>17317.17</v>
      </c>
      <c r="Q30" s="4">
        <f>SUM(O30-I30)</f>
        <v>1377.829999999998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209472.52</v>
      </c>
      <c r="J34" s="5"/>
      <c r="K34" s="5">
        <f>SUM(K23:K32)</f>
        <v>184640.88</v>
      </c>
      <c r="L34" s="5"/>
      <c r="M34" s="5">
        <f>SUM(M23:M32)</f>
        <v>-24831.639999999996</v>
      </c>
      <c r="N34" s="4"/>
      <c r="O34" s="5">
        <f>SUM(O23:O32)</f>
        <v>188820.74000000005</v>
      </c>
      <c r="Q34" s="5">
        <f>SUM(Q23:Q32)</f>
        <v>-20651.78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209472.52</v>
      </c>
      <c r="J41" s="61"/>
      <c r="K41" s="61">
        <f>K34+K39</f>
        <v>184640.88</v>
      </c>
      <c r="L41" s="61"/>
      <c r="M41" s="61">
        <f>M34+M39</f>
        <v>-24831.639999999996</v>
      </c>
      <c r="O41" s="61">
        <f>O34+O39</f>
        <v>188820.74000000005</v>
      </c>
      <c r="Q41" s="61">
        <f>Q34+Q39</f>
        <v>-20651.78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68459.85</v>
      </c>
      <c r="J43" s="62"/>
      <c r="K43" s="62">
        <f>K19-K41</f>
        <v>91776.66999999998</v>
      </c>
      <c r="L43" s="62"/>
      <c r="M43" s="62">
        <f>SUM(M41+M19)</f>
        <v>-23316.820000000003</v>
      </c>
      <c r="O43" s="62">
        <f>O19-O41</f>
        <v>87750.97999999992</v>
      </c>
      <c r="Q43" s="62">
        <f>Q19+Q41</f>
        <v>-19291.129999999976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42754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57</v>
      </c>
      <c r="J5" s="23"/>
      <c r="K5" s="23" t="s">
        <v>58</v>
      </c>
      <c r="L5" s="23"/>
      <c r="M5" s="26" t="s">
        <v>27</v>
      </c>
      <c r="O5" s="23" t="s">
        <v>57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603212.08+121356.71+10850</f>
        <v>735418.7899999999</v>
      </c>
      <c r="J8" s="4"/>
      <c r="K8" s="4">
        <f>570104.83+142361.26+3575</f>
        <v>716041.09</v>
      </c>
      <c r="L8" s="4"/>
      <c r="M8" s="4">
        <f aca="true" t="shared" si="0" ref="M8:M14">SUM(I8-K8)</f>
        <v>19377.699999999953</v>
      </c>
      <c r="O8" s="4">
        <f>614123.27+139866.11+3160.87</f>
        <v>757150.25</v>
      </c>
      <c r="Q8" s="4">
        <f aca="true" t="shared" si="1" ref="Q8:Q14">SUM(I8-O8)</f>
        <v>-21731.46000000008</v>
      </c>
      <c r="S8" s="4"/>
      <c r="U8" s="65"/>
      <c r="X8" s="4"/>
    </row>
    <row r="9" spans="4:24" ht="12.75">
      <c r="D9" t="s">
        <v>2</v>
      </c>
      <c r="G9" s="4"/>
      <c r="I9" s="4">
        <v>8278.95</v>
      </c>
      <c r="J9" s="4"/>
      <c r="K9" s="4">
        <v>-1179.03</v>
      </c>
      <c r="L9" s="4"/>
      <c r="M9" s="4">
        <f t="shared" si="0"/>
        <v>9457.980000000001</v>
      </c>
      <c r="O9" s="4">
        <v>20618.83</v>
      </c>
      <c r="Q9" s="4">
        <f t="shared" si="1"/>
        <v>-12339.880000000001</v>
      </c>
      <c r="S9" s="4"/>
      <c r="U9" s="65"/>
      <c r="X9" s="4"/>
    </row>
    <row r="10" spans="4:24" ht="12.75">
      <c r="D10" t="s">
        <v>3</v>
      </c>
      <c r="G10" s="4"/>
      <c r="I10" s="4">
        <v>79764.33</v>
      </c>
      <c r="J10" s="4"/>
      <c r="K10" s="4">
        <v>75436.26</v>
      </c>
      <c r="L10" s="4"/>
      <c r="M10" s="4">
        <f t="shared" si="0"/>
        <v>4328.070000000007</v>
      </c>
      <c r="O10" s="4">
        <v>49604.21</v>
      </c>
      <c r="Q10" s="4">
        <f t="shared" si="1"/>
        <v>30160.120000000003</v>
      </c>
      <c r="S10" s="4"/>
      <c r="U10" s="65"/>
      <c r="X10" s="4"/>
    </row>
    <row r="11" spans="4:24" ht="12.75">
      <c r="D11" t="s">
        <v>31</v>
      </c>
      <c r="G11" s="4"/>
      <c r="I11" s="4">
        <f>1865.34+14070.19</f>
        <v>15935.53</v>
      </c>
      <c r="J11" s="4"/>
      <c r="K11" s="4">
        <f>1792.18+12773.39</f>
        <v>14565.57</v>
      </c>
      <c r="L11" s="4"/>
      <c r="M11" s="4">
        <f t="shared" si="0"/>
        <v>1369.960000000001</v>
      </c>
      <c r="O11" s="4">
        <f>2182.49+5893.81</f>
        <v>8076.3</v>
      </c>
      <c r="Q11" s="4">
        <f t="shared" si="1"/>
        <v>7859.2300000000005</v>
      </c>
      <c r="S11" s="4"/>
      <c r="U11" s="65"/>
      <c r="X11" s="4"/>
    </row>
    <row r="12" spans="4:24" ht="12.75">
      <c r="D12" t="s">
        <v>30</v>
      </c>
      <c r="G12" s="4"/>
      <c r="I12" s="4">
        <v>4067.08</v>
      </c>
      <c r="J12" s="4"/>
      <c r="K12" s="4">
        <v>100.63</v>
      </c>
      <c r="L12" s="4"/>
      <c r="M12" s="4">
        <f t="shared" si="0"/>
        <v>3966.45</v>
      </c>
      <c r="O12" s="4">
        <v>126.25</v>
      </c>
      <c r="Q12" s="4">
        <f t="shared" si="1"/>
        <v>3940.83</v>
      </c>
      <c r="S12" s="4"/>
      <c r="U12" s="65"/>
      <c r="X12" s="4"/>
    </row>
    <row r="13" spans="4:24" ht="12.75">
      <c r="D13" t="s">
        <v>29</v>
      </c>
      <c r="G13" s="4"/>
      <c r="I13" s="4">
        <v>105</v>
      </c>
      <c r="J13" s="4"/>
      <c r="K13" s="4">
        <v>1281</v>
      </c>
      <c r="L13" s="4"/>
      <c r="M13" s="4">
        <f t="shared" si="0"/>
        <v>-1176</v>
      </c>
      <c r="O13" s="4">
        <v>0</v>
      </c>
      <c r="Q13" s="4">
        <f t="shared" si="1"/>
        <v>105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843569.6799999998</v>
      </c>
      <c r="J16" s="5"/>
      <c r="K16" s="5">
        <f>SUM(K8:K14)</f>
        <v>806245.5199999999</v>
      </c>
      <c r="L16" s="5"/>
      <c r="M16" s="5">
        <f>SUM(M8:M14)</f>
        <v>37324.15999999996</v>
      </c>
      <c r="N16" s="5"/>
      <c r="O16" s="5">
        <f>SUM(O8:O14)</f>
        <v>835575.84</v>
      </c>
      <c r="Q16" s="5">
        <f>SUM(Q8:Q14)</f>
        <v>7993.839999999919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843569.6799999998</v>
      </c>
      <c r="J19" s="61"/>
      <c r="K19" s="61">
        <f>K16</f>
        <v>806245.5199999999</v>
      </c>
      <c r="L19" s="61"/>
      <c r="M19" s="61">
        <f>M16</f>
        <v>37324.15999999996</v>
      </c>
      <c r="O19" s="61">
        <f>O16</f>
        <v>835575.84</v>
      </c>
      <c r="Q19" s="62">
        <f>SUM(I19-O19)</f>
        <v>7993.839999999851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83570.26</v>
      </c>
      <c r="J23" s="4"/>
      <c r="K23" s="4">
        <v>77450.22</v>
      </c>
      <c r="L23" s="4"/>
      <c r="M23" s="4">
        <f aca="true" t="shared" si="2" ref="M23:M29">SUM(K23-I23)</f>
        <v>-6120.039999999994</v>
      </c>
      <c r="O23" s="4">
        <f>80273.5+4000</f>
        <v>84273.5</v>
      </c>
      <c r="Q23" s="4">
        <f aca="true" t="shared" si="3" ref="Q23:Q29">SUM(O23-I23)</f>
        <v>703.2400000000052</v>
      </c>
      <c r="S23" s="4"/>
      <c r="U23" s="65"/>
      <c r="X23" s="4"/>
    </row>
    <row r="24" spans="3:24" ht="12.75">
      <c r="C24" t="s">
        <v>9</v>
      </c>
      <c r="G24" s="4"/>
      <c r="I24" s="4">
        <f>32733.66+234623.43+20369.4+24974</f>
        <v>312700.49</v>
      </c>
      <c r="J24" s="4"/>
      <c r="K24" s="4">
        <f>29499.55+216459.81+21519.38+32186.93</f>
        <v>299665.67</v>
      </c>
      <c r="L24" s="4"/>
      <c r="M24" s="4">
        <f t="shared" si="2"/>
        <v>-13034.820000000007</v>
      </c>
      <c r="O24" s="4">
        <f>30039.54+223810.86+23133.34+29305.34</f>
        <v>306289.08</v>
      </c>
      <c r="Q24" s="4">
        <f t="shared" si="3"/>
        <v>-6411.409999999974</v>
      </c>
      <c r="S24" s="4"/>
      <c r="U24" s="65"/>
      <c r="X24" s="4"/>
    </row>
    <row r="25" spans="3:24" ht="12.75">
      <c r="C25" s="3" t="s">
        <v>12</v>
      </c>
      <c r="G25" s="4"/>
      <c r="I25" s="4">
        <v>69550.67</v>
      </c>
      <c r="J25" s="4"/>
      <c r="K25" s="4">
        <v>65649.2</v>
      </c>
      <c r="L25" s="4"/>
      <c r="M25" s="4">
        <f t="shared" si="2"/>
        <v>-3901.470000000001</v>
      </c>
      <c r="O25" s="4">
        <v>71529.02</v>
      </c>
      <c r="Q25" s="4">
        <f t="shared" si="3"/>
        <v>1978.3500000000058</v>
      </c>
      <c r="S25" s="4"/>
      <c r="U25" s="65"/>
      <c r="X25" s="4"/>
    </row>
    <row r="26" spans="3:24" ht="12.75">
      <c r="C26" t="s">
        <v>33</v>
      </c>
      <c r="G26" s="4"/>
      <c r="I26" s="4">
        <f>4801.32+11997.44+14464.1+21110.03</f>
        <v>52372.89</v>
      </c>
      <c r="J26" s="4" t="s">
        <v>18</v>
      </c>
      <c r="K26" s="4">
        <f>9003.93+18853.6+6514.41+13346.83</f>
        <v>47718.770000000004</v>
      </c>
      <c r="L26" s="4"/>
      <c r="M26" s="4">
        <f t="shared" si="2"/>
        <v>-4654.119999999995</v>
      </c>
      <c r="O26" s="4">
        <f>15950.69+21759.36+6846.77+14180.21</f>
        <v>58737.030000000006</v>
      </c>
      <c r="Q26" s="4">
        <f t="shared" si="3"/>
        <v>6364.140000000007</v>
      </c>
      <c r="S26" s="4"/>
      <c r="U26" s="65"/>
      <c r="X26" s="4"/>
    </row>
    <row r="27" spans="3:24" ht="12.75">
      <c r="C27" t="s">
        <v>10</v>
      </c>
      <c r="G27" s="4"/>
      <c r="I27" s="4">
        <v>46767.56</v>
      </c>
      <c r="J27" s="4"/>
      <c r="K27" s="4">
        <v>60574.98</v>
      </c>
      <c r="L27" s="4"/>
      <c r="M27" s="4">
        <f t="shared" si="2"/>
        <v>13807.420000000006</v>
      </c>
      <c r="O27" s="4">
        <v>38758.28</v>
      </c>
      <c r="Q27" s="4">
        <f t="shared" si="3"/>
        <v>-8009.279999999999</v>
      </c>
      <c r="S27" s="4"/>
      <c r="U27" s="65"/>
      <c r="X27" s="4"/>
    </row>
    <row r="28" spans="3:24" ht="12.75">
      <c r="C28" t="s">
        <v>11</v>
      </c>
      <c r="G28" s="4"/>
      <c r="I28" s="4">
        <v>8219.1</v>
      </c>
      <c r="J28" s="4"/>
      <c r="K28" s="4">
        <v>9144.18</v>
      </c>
      <c r="L28" s="4"/>
      <c r="M28" s="4">
        <f t="shared" si="2"/>
        <v>925.0799999999999</v>
      </c>
      <c r="O28" s="4">
        <v>9412.39</v>
      </c>
      <c r="Q28" s="4">
        <f t="shared" si="3"/>
        <v>1193.289999999999</v>
      </c>
      <c r="S28" s="4"/>
      <c r="U28" s="65"/>
      <c r="X28" s="4"/>
    </row>
    <row r="29" spans="3:24" ht="12.75">
      <c r="C29" s="3" t="s">
        <v>40</v>
      </c>
      <c r="G29" s="4"/>
      <c r="I29" s="4">
        <v>38984.82</v>
      </c>
      <c r="J29" s="4"/>
      <c r="K29" s="4">
        <v>103957.49</v>
      </c>
      <c r="L29" s="4"/>
      <c r="M29" s="4">
        <f t="shared" si="2"/>
        <v>64972.670000000006</v>
      </c>
      <c r="O29" s="4">
        <v>92499.6</v>
      </c>
      <c r="Q29" s="4">
        <f t="shared" si="3"/>
        <v>53514.780000000006</v>
      </c>
      <c r="S29" s="4"/>
      <c r="U29" s="65"/>
      <c r="X29" s="4"/>
    </row>
    <row r="30" spans="3:24" ht="12.75">
      <c r="C30" s="47" t="s">
        <v>41</v>
      </c>
      <c r="G30" s="4"/>
      <c r="I30" s="4">
        <v>41806.98</v>
      </c>
      <c r="J30" s="4"/>
      <c r="K30" s="4">
        <v>46162.2</v>
      </c>
      <c r="L30" s="4"/>
      <c r="M30" s="4">
        <f>SUM(K30-I30)</f>
        <v>4355.219999999994</v>
      </c>
      <c r="O30" s="4">
        <v>52768.2</v>
      </c>
      <c r="Q30" s="4">
        <f>SUM(O30-I30)</f>
        <v>10961.219999999994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653973.1799999999</v>
      </c>
      <c r="J34" s="5"/>
      <c r="K34" s="5">
        <f>SUM(K23:K32)</f>
        <v>710322.7100000001</v>
      </c>
      <c r="L34" s="5"/>
      <c r="M34" s="5">
        <f>SUM(M23:M32)</f>
        <v>56349.530000000006</v>
      </c>
      <c r="N34" s="4"/>
      <c r="O34" s="5">
        <f>SUM(O23:O32)</f>
        <v>714267.1</v>
      </c>
      <c r="Q34" s="5">
        <f>SUM(Q23:Q32)</f>
        <v>60293.92000000004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69783.33</v>
      </c>
      <c r="J37" s="4"/>
      <c r="K37" s="4">
        <v>71808.5</v>
      </c>
      <c r="L37" s="4"/>
      <c r="M37" s="4">
        <f>SUM(K37-I37)</f>
        <v>2025.1699999999983</v>
      </c>
      <c r="O37" s="4">
        <v>77461.55</v>
      </c>
      <c r="Q37" s="4">
        <f>SUM(O37-I37)</f>
        <v>7678.220000000001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69783.33</v>
      </c>
      <c r="J39" s="10"/>
      <c r="K39" s="10">
        <f>SUM(K37:K37)</f>
        <v>71808.5</v>
      </c>
      <c r="L39" s="10"/>
      <c r="M39" s="4">
        <f>SUM(K39-I39)</f>
        <v>2025.1699999999983</v>
      </c>
      <c r="N39" s="10"/>
      <c r="O39" s="10">
        <f>SUM(O37:O37)</f>
        <v>77461.55</v>
      </c>
      <c r="Q39" s="4">
        <f>SUM(O39-I39)</f>
        <v>7678.220000000001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723756.5099999999</v>
      </c>
      <c r="J41" s="61"/>
      <c r="K41" s="61">
        <f>K34+K39</f>
        <v>782131.2100000001</v>
      </c>
      <c r="L41" s="61"/>
      <c r="M41" s="61">
        <f>M34+M39</f>
        <v>58374.700000000004</v>
      </c>
      <c r="O41" s="61">
        <f>O34+O39</f>
        <v>791728.65</v>
      </c>
      <c r="Q41" s="61">
        <f>Q34+Q39</f>
        <v>67972.14000000004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119813.16999999993</v>
      </c>
      <c r="J43" s="62"/>
      <c r="K43" s="62">
        <f>K19-K41</f>
        <v>24114.309999999823</v>
      </c>
      <c r="L43" s="62"/>
      <c r="M43" s="62">
        <f>SUM(M41+M19)</f>
        <v>95698.85999999996</v>
      </c>
      <c r="O43" s="62">
        <f>O19-O41</f>
        <v>43847.189999999944</v>
      </c>
      <c r="Q43" s="62">
        <f>Q19+Q41</f>
        <v>75965.9799999999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59</v>
      </c>
      <c r="J5" s="23"/>
      <c r="K5" s="23" t="s">
        <v>60</v>
      </c>
      <c r="L5" s="23"/>
      <c r="M5" s="26" t="s">
        <v>27</v>
      </c>
      <c r="O5" s="23" t="s">
        <v>59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692427.78+132043.75+11900</f>
        <v>836371.53</v>
      </c>
      <c r="J8" s="4"/>
      <c r="K8" s="4">
        <f>645694.24+156940.16+4375</f>
        <v>807009.4</v>
      </c>
      <c r="L8" s="4"/>
      <c r="M8" s="4">
        <f aca="true" t="shared" si="0" ref="M8:M14">SUM(I8-K8)</f>
        <v>29362.130000000005</v>
      </c>
      <c r="O8" s="4">
        <f>695577.58+154573.26+3889.45</f>
        <v>854040.2899999999</v>
      </c>
      <c r="Q8" s="4">
        <f aca="true" t="shared" si="1" ref="Q8:Q14">SUM(I8-O8)</f>
        <v>-17668.759999999893</v>
      </c>
      <c r="S8" s="4"/>
      <c r="U8" s="65"/>
      <c r="X8" s="4"/>
    </row>
    <row r="9" spans="4:24" ht="12.75">
      <c r="D9" t="s">
        <v>2</v>
      </c>
      <c r="G9" s="4"/>
      <c r="I9" s="4">
        <v>15989.76</v>
      </c>
      <c r="J9" s="4"/>
      <c r="K9" s="4">
        <v>2081.65</v>
      </c>
      <c r="L9" s="4"/>
      <c r="M9" s="4">
        <f t="shared" si="0"/>
        <v>13908.11</v>
      </c>
      <c r="O9" s="4">
        <v>25875.99</v>
      </c>
      <c r="Q9" s="4">
        <f t="shared" si="1"/>
        <v>-9886.230000000001</v>
      </c>
      <c r="S9" s="4"/>
      <c r="U9" s="65"/>
      <c r="X9" s="4"/>
    </row>
    <row r="10" spans="4:24" ht="12.75">
      <c r="D10" t="s">
        <v>3</v>
      </c>
      <c r="G10" s="4"/>
      <c r="I10" s="4">
        <v>83356.33</v>
      </c>
      <c r="J10" s="4"/>
      <c r="K10" s="4">
        <v>80080.76</v>
      </c>
      <c r="L10" s="4"/>
      <c r="M10" s="4">
        <f t="shared" si="0"/>
        <v>3275.570000000007</v>
      </c>
      <c r="O10" s="4">
        <v>53959.43</v>
      </c>
      <c r="Q10" s="4">
        <f t="shared" si="1"/>
        <v>29396.9</v>
      </c>
      <c r="S10" s="4"/>
      <c r="U10" s="65"/>
      <c r="X10" s="4"/>
    </row>
    <row r="11" spans="4:24" ht="12.75">
      <c r="D11" t="s">
        <v>31</v>
      </c>
      <c r="G11" s="4"/>
      <c r="I11" s="4">
        <f>2314.18+10708.51</f>
        <v>13022.69</v>
      </c>
      <c r="J11" s="4"/>
      <c r="K11" s="4">
        <f>1887.04+15313.39</f>
        <v>17200.43</v>
      </c>
      <c r="L11" s="4"/>
      <c r="M11" s="4">
        <f t="shared" si="0"/>
        <v>-4177.74</v>
      </c>
      <c r="O11" s="4">
        <f>2298.01+7206.66</f>
        <v>9504.67</v>
      </c>
      <c r="Q11" s="4">
        <f t="shared" si="1"/>
        <v>3518.0200000000004</v>
      </c>
      <c r="S11" s="4"/>
      <c r="U11" s="65"/>
      <c r="X11" s="4"/>
    </row>
    <row r="12" spans="4:24" ht="12.75">
      <c r="D12" t="s">
        <v>30</v>
      </c>
      <c r="G12" s="4"/>
      <c r="I12" s="4">
        <v>4164.75</v>
      </c>
      <c r="J12" s="4"/>
      <c r="K12" s="4">
        <v>173.47</v>
      </c>
      <c r="L12" s="4"/>
      <c r="M12" s="4">
        <f t="shared" si="0"/>
        <v>3991.28</v>
      </c>
      <c r="O12" s="4">
        <v>211.28</v>
      </c>
      <c r="Q12" s="4">
        <f t="shared" si="1"/>
        <v>3953.47</v>
      </c>
      <c r="S12" s="4"/>
      <c r="U12" s="65"/>
      <c r="X12" s="4"/>
    </row>
    <row r="13" spans="4:24" ht="12.75">
      <c r="D13" t="s">
        <v>29</v>
      </c>
      <c r="G13" s="4"/>
      <c r="I13" s="4">
        <v>148.75</v>
      </c>
      <c r="J13" s="4"/>
      <c r="K13" s="4">
        <v>1281</v>
      </c>
      <c r="L13" s="4"/>
      <c r="M13" s="4">
        <f t="shared" si="0"/>
        <v>-1132.25</v>
      </c>
      <c r="O13" s="4">
        <v>0</v>
      </c>
      <c r="Q13" s="4">
        <f t="shared" si="1"/>
        <v>148.75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953053.8099999999</v>
      </c>
      <c r="J16" s="5"/>
      <c r="K16" s="5">
        <f>SUM(K8:K14)</f>
        <v>907826.7100000001</v>
      </c>
      <c r="L16" s="5"/>
      <c r="M16" s="5">
        <f>SUM(M8:M14)</f>
        <v>45227.10000000001</v>
      </c>
      <c r="N16" s="5"/>
      <c r="O16" s="5">
        <f>SUM(O8:O14)</f>
        <v>943591.66</v>
      </c>
      <c r="Q16" s="5">
        <f>SUM(Q8:Q14)</f>
        <v>9462.150000000105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953053.8099999999</v>
      </c>
      <c r="J19" s="61"/>
      <c r="K19" s="61">
        <f>K16</f>
        <v>907826.7100000001</v>
      </c>
      <c r="L19" s="61"/>
      <c r="M19" s="61">
        <f>M16</f>
        <v>45227.10000000001</v>
      </c>
      <c r="O19" s="61">
        <f>O16</f>
        <v>943591.66</v>
      </c>
      <c r="Q19" s="62">
        <f>SUM(I19-O19)</f>
        <v>9462.149999999907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100806.91</v>
      </c>
      <c r="J23" s="4"/>
      <c r="K23" s="4">
        <v>90358.59</v>
      </c>
      <c r="L23" s="4"/>
      <c r="M23" s="4">
        <f aca="true" t="shared" si="2" ref="M23:M29">SUM(K23-I23)</f>
        <v>-10448.320000000007</v>
      </c>
      <c r="O23" s="4">
        <v>98319.08</v>
      </c>
      <c r="Q23" s="4">
        <f aca="true" t="shared" si="3" ref="Q23:Q29">SUM(O23-I23)</f>
        <v>-2487.8300000000017</v>
      </c>
      <c r="S23" s="4"/>
      <c r="U23" s="65"/>
      <c r="X23" s="4"/>
    </row>
    <row r="24" spans="3:24" ht="12.75">
      <c r="C24" t="s">
        <v>9</v>
      </c>
      <c r="G24" s="4"/>
      <c r="I24" s="4">
        <f>38426.45+287453.54+23764.3+34494.7</f>
        <v>384138.99</v>
      </c>
      <c r="J24" s="4"/>
      <c r="K24" s="4">
        <f>36533.84+252344.17+25105.97+39480.3</f>
        <v>353464.27999999997</v>
      </c>
      <c r="L24" s="4"/>
      <c r="M24" s="4">
        <f t="shared" si="2"/>
        <v>-30674.71000000002</v>
      </c>
      <c r="O24" s="4">
        <f>36917.14+261176.53+26988.92+35674.59</f>
        <v>360757.17999999993</v>
      </c>
      <c r="Q24" s="4">
        <f t="shared" si="3"/>
        <v>-23381.810000000056</v>
      </c>
      <c r="S24" s="4"/>
      <c r="U24" s="65"/>
      <c r="X24" s="4"/>
    </row>
    <row r="25" spans="3:24" ht="12.75">
      <c r="C25" s="3" t="s">
        <v>12</v>
      </c>
      <c r="G25" s="4"/>
      <c r="I25" s="4">
        <v>80179.29</v>
      </c>
      <c r="J25" s="4"/>
      <c r="K25" s="4">
        <v>76186.65</v>
      </c>
      <c r="L25" s="4"/>
      <c r="M25" s="4">
        <f t="shared" si="2"/>
        <v>-3992.6399999999994</v>
      </c>
      <c r="O25" s="4">
        <v>82950.42</v>
      </c>
      <c r="Q25" s="4">
        <f t="shared" si="3"/>
        <v>2771.1300000000047</v>
      </c>
      <c r="S25" s="4"/>
      <c r="U25" s="65"/>
      <c r="X25" s="4"/>
    </row>
    <row r="26" spans="3:24" ht="12.75">
      <c r="C26" t="s">
        <v>33</v>
      </c>
      <c r="G26" s="4"/>
      <c r="I26" s="4">
        <f>6051.49+14552.79+16777.8+24713.57</f>
        <v>62095.65</v>
      </c>
      <c r="J26" s="4" t="s">
        <v>18</v>
      </c>
      <c r="K26" s="4">
        <f>10464.17+21779.58+7531.26+14137.6</f>
        <v>53912.61</v>
      </c>
      <c r="L26" s="4"/>
      <c r="M26" s="4">
        <f t="shared" si="2"/>
        <v>-8183.040000000001</v>
      </c>
      <c r="O26" s="4">
        <f>18501.87+24909.09+7997.83+15072.79</f>
        <v>66481.58</v>
      </c>
      <c r="Q26" s="4">
        <f t="shared" si="3"/>
        <v>4385.93</v>
      </c>
      <c r="S26" s="4"/>
      <c r="U26" s="65"/>
      <c r="X26" s="4"/>
    </row>
    <row r="27" spans="3:24" ht="12.75">
      <c r="C27" t="s">
        <v>10</v>
      </c>
      <c r="G27" s="4"/>
      <c r="I27" s="4">
        <v>50984.15</v>
      </c>
      <c r="J27" s="4"/>
      <c r="K27" s="4">
        <v>67230.7</v>
      </c>
      <c r="L27" s="4"/>
      <c r="M27" s="4">
        <f t="shared" si="2"/>
        <v>16246.549999999996</v>
      </c>
      <c r="O27" s="4">
        <v>44366.88</v>
      </c>
      <c r="Q27" s="4">
        <f t="shared" si="3"/>
        <v>-6617.270000000004</v>
      </c>
      <c r="S27" s="4"/>
      <c r="U27" s="65"/>
      <c r="X27" s="4"/>
    </row>
    <row r="28" spans="3:24" ht="12.75">
      <c r="C28" t="s">
        <v>11</v>
      </c>
      <c r="G28" s="4"/>
      <c r="I28" s="4">
        <v>9296.77</v>
      </c>
      <c r="J28" s="4"/>
      <c r="K28" s="4">
        <v>11419.13</v>
      </c>
      <c r="L28" s="4"/>
      <c r="M28" s="4">
        <f t="shared" si="2"/>
        <v>2122.3599999999988</v>
      </c>
      <c r="O28" s="4">
        <v>11745.01</v>
      </c>
      <c r="Q28" s="4">
        <f t="shared" si="3"/>
        <v>2448.24</v>
      </c>
      <c r="S28" s="4"/>
      <c r="U28" s="65"/>
      <c r="X28" s="4"/>
    </row>
    <row r="29" spans="3:24" ht="12.75">
      <c r="C29" s="3" t="s">
        <v>40</v>
      </c>
      <c r="G29" s="4"/>
      <c r="I29" s="4">
        <v>46113.8</v>
      </c>
      <c r="J29" s="4"/>
      <c r="K29" s="4">
        <v>110484.45</v>
      </c>
      <c r="L29" s="4"/>
      <c r="M29" s="4">
        <f t="shared" si="2"/>
        <v>64370.649999999994</v>
      </c>
      <c r="O29" s="4">
        <v>100077.96</v>
      </c>
      <c r="Q29" s="4">
        <f t="shared" si="3"/>
        <v>53964.16</v>
      </c>
      <c r="S29" s="4"/>
      <c r="U29" s="65"/>
      <c r="X29" s="4"/>
    </row>
    <row r="30" spans="3:24" ht="12.75">
      <c r="C30" s="47" t="s">
        <v>41</v>
      </c>
      <c r="G30" s="4"/>
      <c r="I30" s="4">
        <v>46665.36</v>
      </c>
      <c r="J30" s="4"/>
      <c r="K30" s="4">
        <v>53087.48</v>
      </c>
      <c r="L30" s="4"/>
      <c r="M30" s="4">
        <f>SUM(K30-I30)</f>
        <v>6422.120000000003</v>
      </c>
      <c r="O30" s="4">
        <v>60549.17</v>
      </c>
      <c r="Q30" s="4">
        <f>SUM(O30-I30)</f>
        <v>13883.809999999998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780281.3300000002</v>
      </c>
      <c r="J34" s="5"/>
      <c r="K34" s="5">
        <f>SUM(K23:K32)</f>
        <v>816143.8899999999</v>
      </c>
      <c r="L34" s="5"/>
      <c r="M34" s="5">
        <f>SUM(M23:M32)</f>
        <v>35862.55999999996</v>
      </c>
      <c r="N34" s="4"/>
      <c r="O34" s="5">
        <f>SUM(O23:O32)</f>
        <v>825247.2799999999</v>
      </c>
      <c r="Q34" s="5">
        <f>SUM(Q23:Q32)</f>
        <v>44965.94999999994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104491.66</v>
      </c>
      <c r="J37" s="4"/>
      <c r="K37" s="4">
        <v>102472.25</v>
      </c>
      <c r="L37" s="4"/>
      <c r="M37" s="4">
        <f>SUM(K37-I37)</f>
        <v>-2019.4100000000035</v>
      </c>
      <c r="O37" s="4">
        <v>110539.28</v>
      </c>
      <c r="Q37" s="4">
        <f>SUM(O37-I37)</f>
        <v>6047.619999999995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104491.66</v>
      </c>
      <c r="J39" s="10"/>
      <c r="K39" s="10">
        <f>SUM(K37:K37)</f>
        <v>102472.25</v>
      </c>
      <c r="L39" s="10"/>
      <c r="M39" s="4">
        <f>SUM(K39-I39)</f>
        <v>-2019.4100000000035</v>
      </c>
      <c r="N39" s="10"/>
      <c r="O39" s="10">
        <f>SUM(O37:O37)</f>
        <v>110539.28</v>
      </c>
      <c r="Q39" s="4">
        <f>SUM(O39-I39)</f>
        <v>6047.619999999995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884772.9900000002</v>
      </c>
      <c r="J41" s="61"/>
      <c r="K41" s="61">
        <f>K34+K39</f>
        <v>918616.1399999999</v>
      </c>
      <c r="L41" s="61"/>
      <c r="M41" s="61">
        <f>M34+M39</f>
        <v>33843.14999999996</v>
      </c>
      <c r="O41" s="61">
        <f>O34+O39</f>
        <v>935786.5599999999</v>
      </c>
      <c r="Q41" s="61">
        <f>Q34+Q39</f>
        <v>51013.569999999934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68280.81999999972</v>
      </c>
      <c r="J43" s="62"/>
      <c r="K43" s="62">
        <f>K19-K41</f>
        <v>-10789.429999999818</v>
      </c>
      <c r="L43" s="62"/>
      <c r="M43" s="62">
        <f>SUM(M41+M19)</f>
        <v>79070.24999999997</v>
      </c>
      <c r="O43" s="62">
        <f>O19-O41</f>
        <v>7805.100000000093</v>
      </c>
      <c r="Q43" s="62">
        <f>Q19+Q41</f>
        <v>60475.71999999984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42978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61</v>
      </c>
      <c r="J5" s="23"/>
      <c r="K5" s="23" t="s">
        <v>54</v>
      </c>
      <c r="L5" s="23"/>
      <c r="M5" s="26" t="s">
        <v>27</v>
      </c>
      <c r="O5" s="23" t="s">
        <v>61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184027.87+22773.02+3170</f>
        <v>209970.88999999998</v>
      </c>
      <c r="J8" s="4"/>
      <c r="K8" s="4">
        <f>188763.96+17818.1+4450</f>
        <v>211032.06</v>
      </c>
      <c r="L8" s="4"/>
      <c r="M8" s="4">
        <f aca="true" t="shared" si="0" ref="M8:M14">SUM(I8-K8)</f>
        <v>-1061.1700000000128</v>
      </c>
      <c r="O8" s="4">
        <f>189293.45+16021.93+4682.38</f>
        <v>209997.76</v>
      </c>
      <c r="Q8" s="4">
        <f aca="true" t="shared" si="1" ref="Q8:Q14">SUM(I8-O8)</f>
        <v>-26.870000000024447</v>
      </c>
      <c r="S8" s="4"/>
      <c r="U8" s="65"/>
      <c r="X8" s="4"/>
    </row>
    <row r="9" spans="4:24" ht="12.75">
      <c r="D9" t="s">
        <v>2</v>
      </c>
      <c r="G9" s="4"/>
      <c r="I9" s="4">
        <v>-2862.59</v>
      </c>
      <c r="J9" s="4"/>
      <c r="K9" s="4">
        <v>15098.32</v>
      </c>
      <c r="L9" s="4"/>
      <c r="M9" s="4">
        <f t="shared" si="0"/>
        <v>-17960.91</v>
      </c>
      <c r="O9" s="4">
        <v>13925.8</v>
      </c>
      <c r="Q9" s="4">
        <f t="shared" si="1"/>
        <v>-16788.39</v>
      </c>
      <c r="S9" s="4"/>
      <c r="U9" s="65"/>
      <c r="X9" s="4"/>
    </row>
    <row r="10" spans="4:24" ht="12.75">
      <c r="D10" t="s">
        <v>3</v>
      </c>
      <c r="G10" s="4"/>
      <c r="I10" s="4">
        <v>27043.51</v>
      </c>
      <c r="J10" s="4"/>
      <c r="K10" s="4">
        <v>53139.83</v>
      </c>
      <c r="L10" s="4"/>
      <c r="M10" s="4">
        <f t="shared" si="0"/>
        <v>-26096.320000000003</v>
      </c>
      <c r="O10" s="4">
        <v>41261.3</v>
      </c>
      <c r="Q10" s="4">
        <f t="shared" si="1"/>
        <v>-14217.790000000005</v>
      </c>
      <c r="S10" s="4"/>
      <c r="U10" s="65"/>
      <c r="X10" s="4"/>
    </row>
    <row r="11" spans="4:24" ht="12.75">
      <c r="D11" t="s">
        <v>31</v>
      </c>
      <c r="G11" s="4"/>
      <c r="I11" s="4">
        <f>409.82+12000</f>
        <v>12409.82</v>
      </c>
      <c r="J11" s="4"/>
      <c r="K11" s="4">
        <f>352.69+5275.19</f>
        <v>5627.879999999999</v>
      </c>
      <c r="L11" s="4"/>
      <c r="M11" s="4">
        <f t="shared" si="0"/>
        <v>6781.9400000000005</v>
      </c>
      <c r="O11" s="4">
        <f>279.13+407.3</f>
        <v>686.4300000000001</v>
      </c>
      <c r="Q11" s="4">
        <f t="shared" si="1"/>
        <v>11723.39</v>
      </c>
      <c r="S11" s="4"/>
      <c r="U11" s="65"/>
      <c r="X11" s="4"/>
    </row>
    <row r="12" spans="4:24" ht="12.75">
      <c r="D12" t="s">
        <v>30</v>
      </c>
      <c r="G12" s="4"/>
      <c r="I12" s="4">
        <v>51.56</v>
      </c>
      <c r="J12" s="4"/>
      <c r="K12" s="4">
        <v>24.97</v>
      </c>
      <c r="L12" s="4"/>
      <c r="M12" s="4">
        <f t="shared" si="0"/>
        <v>26.590000000000003</v>
      </c>
      <c r="O12" s="4">
        <v>27.5</v>
      </c>
      <c r="Q12" s="4">
        <f t="shared" si="1"/>
        <v>24.060000000000002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246613.19</v>
      </c>
      <c r="J16" s="5"/>
      <c r="K16" s="5">
        <f>SUM(K8:K14)</f>
        <v>284923.06</v>
      </c>
      <c r="L16" s="5"/>
      <c r="M16" s="5">
        <f>SUM(M8:M14)</f>
        <v>-38309.87000000002</v>
      </c>
      <c r="N16" s="5"/>
      <c r="O16" s="5">
        <f>SUM(O8:O14)</f>
        <v>265898.79</v>
      </c>
      <c r="Q16" s="5">
        <f>SUM(Q8:Q14)</f>
        <v>-19285.600000000028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246613.19</v>
      </c>
      <c r="J19" s="61"/>
      <c r="K19" s="61">
        <f>K16</f>
        <v>284923.06</v>
      </c>
      <c r="L19" s="61"/>
      <c r="M19" s="61">
        <f>M16</f>
        <v>-38309.87000000002</v>
      </c>
      <c r="O19" s="61">
        <f>O16</f>
        <v>265898.79</v>
      </c>
      <c r="Q19" s="62">
        <f>SUM(I19-O19)</f>
        <v>-19285.599999999977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30106.66</v>
      </c>
      <c r="J23" s="4"/>
      <c r="K23" s="4">
        <v>30503.26</v>
      </c>
      <c r="L23" s="4"/>
      <c r="M23" s="4">
        <f aca="true" t="shared" si="2" ref="M23:M29">SUM(K23-I23)</f>
        <v>396.59999999999854</v>
      </c>
      <c r="O23" s="4">
        <v>33536.97</v>
      </c>
      <c r="Q23" s="4">
        <f aca="true" t="shared" si="3" ref="Q23:Q29">SUM(O23-I23)</f>
        <v>3430.3100000000013</v>
      </c>
      <c r="S23" s="4"/>
      <c r="U23" s="65"/>
      <c r="X23" s="4"/>
    </row>
    <row r="24" spans="3:24" ht="12.75">
      <c r="C24" t="s">
        <v>9</v>
      </c>
      <c r="G24" s="4"/>
      <c r="I24" s="4">
        <f>12620.6+87105.3+6901.68+4646.66</f>
        <v>111274.24000000002</v>
      </c>
      <c r="J24" s="4"/>
      <c r="K24" s="4">
        <f>6689.64+71541.8+6789.8+3206.24</f>
        <v>88227.48000000001</v>
      </c>
      <c r="L24" s="4"/>
      <c r="M24" s="4">
        <f t="shared" si="2"/>
        <v>-23046.76000000001</v>
      </c>
      <c r="O24" s="4">
        <f>9152.26+73306.48+7129.29+15096.34</f>
        <v>104684.36999999998</v>
      </c>
      <c r="Q24" s="4">
        <f t="shared" si="3"/>
        <v>-6589.870000000039</v>
      </c>
      <c r="S24" s="4"/>
      <c r="U24" s="65"/>
      <c r="X24" s="4"/>
    </row>
    <row r="25" spans="3:24" ht="12.75">
      <c r="C25" s="3" t="s">
        <v>12</v>
      </c>
      <c r="G25" s="4"/>
      <c r="I25" s="4">
        <v>26848.07</v>
      </c>
      <c r="J25" s="4"/>
      <c r="K25" s="4">
        <v>22729.56</v>
      </c>
      <c r="L25" s="4"/>
      <c r="M25" s="4">
        <f t="shared" si="2"/>
        <v>-4118.509999999998</v>
      </c>
      <c r="O25" s="4">
        <v>24562.21</v>
      </c>
      <c r="Q25" s="4">
        <f t="shared" si="3"/>
        <v>-2285.8600000000006</v>
      </c>
      <c r="S25" s="4"/>
      <c r="U25" s="65"/>
      <c r="X25" s="4"/>
    </row>
    <row r="26" spans="3:24" ht="12.75">
      <c r="C26" t="s">
        <v>33</v>
      </c>
      <c r="G26" s="4"/>
      <c r="I26" s="4">
        <f>4929.26+1931.41+1912.16+2430.63</f>
        <v>11203.46</v>
      </c>
      <c r="J26" s="4" t="s">
        <v>18</v>
      </c>
      <c r="K26" s="4">
        <f>6075.9+2934.8+1934.36+2506.86</f>
        <v>13451.920000000002</v>
      </c>
      <c r="L26" s="4"/>
      <c r="M26" s="4">
        <f t="shared" si="2"/>
        <v>2248.4600000000028</v>
      </c>
      <c r="O26" s="4">
        <f>6370.4+3646.83+1886.37+2710.8</f>
        <v>14614.399999999998</v>
      </c>
      <c r="Q26" s="4">
        <f t="shared" si="3"/>
        <v>3410.9399999999987</v>
      </c>
      <c r="S26" s="4"/>
      <c r="U26" s="65"/>
      <c r="X26" s="4"/>
    </row>
    <row r="27" spans="3:24" ht="12.75">
      <c r="C27" t="s">
        <v>10</v>
      </c>
      <c r="G27" s="4"/>
      <c r="I27" s="4">
        <v>23505.29</v>
      </c>
      <c r="J27" s="4"/>
      <c r="K27" s="4">
        <v>25038.73</v>
      </c>
      <c r="L27" s="4"/>
      <c r="M27" s="4">
        <f t="shared" si="2"/>
        <v>1533.4399999999987</v>
      </c>
      <c r="O27" s="4">
        <v>26943.91</v>
      </c>
      <c r="Q27" s="4">
        <f t="shared" si="3"/>
        <v>3438.619999999999</v>
      </c>
      <c r="S27" s="4"/>
      <c r="U27" s="65"/>
      <c r="X27" s="4"/>
    </row>
    <row r="28" spans="3:24" ht="12.75">
      <c r="C28" t="s">
        <v>11</v>
      </c>
      <c r="G28" s="4"/>
      <c r="I28" s="4">
        <v>1536.61</v>
      </c>
      <c r="J28" s="4"/>
      <c r="K28" s="4">
        <v>1430.52</v>
      </c>
      <c r="L28" s="4"/>
      <c r="M28" s="4">
        <f t="shared" si="2"/>
        <v>-106.08999999999992</v>
      </c>
      <c r="O28" s="4">
        <v>1472.39</v>
      </c>
      <c r="Q28" s="4">
        <f t="shared" si="3"/>
        <v>-64.2199999999998</v>
      </c>
      <c r="S28" s="4"/>
      <c r="U28" s="65"/>
      <c r="X28" s="4"/>
    </row>
    <row r="29" spans="3:24" ht="12.75">
      <c r="C29" s="3" t="s">
        <v>40</v>
      </c>
      <c r="G29" s="4"/>
      <c r="I29" s="4">
        <f>22335.26-5036.52</f>
        <v>17298.739999999998</v>
      </c>
      <c r="J29" s="4"/>
      <c r="K29" s="4">
        <v>9939.75</v>
      </c>
      <c r="L29" s="4"/>
      <c r="M29" s="4">
        <f t="shared" si="2"/>
        <v>-7358.989999999998</v>
      </c>
      <c r="O29" s="4">
        <v>15678.87</v>
      </c>
      <c r="Q29" s="4">
        <f t="shared" si="3"/>
        <v>-1619.8699999999972</v>
      </c>
      <c r="S29" s="4"/>
      <c r="U29" s="65"/>
      <c r="X29" s="4"/>
    </row>
    <row r="30" spans="3:24" ht="12.75">
      <c r="C30" s="47" t="s">
        <v>41</v>
      </c>
      <c r="G30" s="4"/>
      <c r="I30" s="4">
        <v>12304.14</v>
      </c>
      <c r="J30" s="4"/>
      <c r="K30" s="4">
        <v>15675.25</v>
      </c>
      <c r="L30" s="4"/>
      <c r="M30" s="4">
        <f>SUM(K30-I30)</f>
        <v>3371.1100000000006</v>
      </c>
      <c r="O30" s="4">
        <v>20665.93</v>
      </c>
      <c r="Q30" s="4">
        <f>SUM(O30-I30)</f>
        <v>8361.79</v>
      </c>
      <c r="S30" s="4"/>
      <c r="U30" s="65"/>
      <c r="X30" s="4"/>
    </row>
    <row r="31" spans="3:24" ht="12.75">
      <c r="C31" t="s">
        <v>17</v>
      </c>
      <c r="G31" s="4"/>
      <c r="I31" s="4">
        <v>-35</v>
      </c>
      <c r="J31" s="4"/>
      <c r="K31" s="4">
        <v>0</v>
      </c>
      <c r="L31" s="4"/>
      <c r="M31" s="4">
        <f>SUM(K31-I31)</f>
        <v>35</v>
      </c>
      <c r="O31" s="4">
        <v>0</v>
      </c>
      <c r="Q31" s="4">
        <f>SUM(O31-I31)</f>
        <v>35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234042.21000000002</v>
      </c>
      <c r="J34" s="5"/>
      <c r="K34" s="5">
        <f>SUM(K23:K32)</f>
        <v>206996.47000000003</v>
      </c>
      <c r="L34" s="5"/>
      <c r="M34" s="5">
        <f>SUM(M23:M32)</f>
        <v>-27045.740000000005</v>
      </c>
      <c r="N34" s="4"/>
      <c r="O34" s="5">
        <f>SUM(O23:O32)</f>
        <v>242159.04999999996</v>
      </c>
      <c r="Q34" s="5">
        <f>SUM(Q23:Q32)</f>
        <v>8116.839999999964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234042.21000000002</v>
      </c>
      <c r="J41" s="61"/>
      <c r="K41" s="61">
        <f>K34+K39</f>
        <v>206996.47000000003</v>
      </c>
      <c r="L41" s="61"/>
      <c r="M41" s="61">
        <f>M34+M39</f>
        <v>-27045.740000000005</v>
      </c>
      <c r="O41" s="61">
        <f>O34+O39</f>
        <v>242159.04999999996</v>
      </c>
      <c r="Q41" s="61">
        <f>Q34+Q39</f>
        <v>8116.839999999964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12570.979999999981</v>
      </c>
      <c r="J43" s="62"/>
      <c r="K43" s="62">
        <f>K19-K41</f>
        <v>77926.58999999997</v>
      </c>
      <c r="L43" s="62"/>
      <c r="M43" s="62">
        <f>SUM(M41+M19)</f>
        <v>-65355.61000000002</v>
      </c>
      <c r="O43" s="62">
        <f>O19-O41</f>
        <v>23739.74000000002</v>
      </c>
      <c r="Q43" s="62">
        <f>Q19+Q41</f>
        <v>-11168.760000000013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1:12" ht="12.75">
      <c r="A46" t="s">
        <v>62</v>
      </c>
      <c r="G46" s="4"/>
      <c r="I46" s="4">
        <v>112156</v>
      </c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22">
      <selection activeCell="I52" sqref="I5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43100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64</v>
      </c>
      <c r="J5" s="23"/>
      <c r="K5" s="23" t="s">
        <v>57</v>
      </c>
      <c r="L5" s="23"/>
      <c r="M5" s="26" t="s">
        <v>27</v>
      </c>
      <c r="O5" s="23" t="s">
        <v>64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573233.47+139967.65+7870</f>
        <v>721071.12</v>
      </c>
      <c r="J8" s="4"/>
      <c r="K8" s="4">
        <f>603212.08+121418.96+10850</f>
        <v>735481.0399999999</v>
      </c>
      <c r="L8" s="4"/>
      <c r="M8" s="4">
        <f aca="true" t="shared" si="0" ref="M8:M14">SUM(I8-K8)</f>
        <v>-14409.919999999925</v>
      </c>
      <c r="O8" s="4">
        <f>614958.02+121588.66+9302.33</f>
        <v>745849.01</v>
      </c>
      <c r="Q8" s="4">
        <f aca="true" t="shared" si="1" ref="Q8:Q14">SUM(I8-O8)</f>
        <v>-24777.890000000014</v>
      </c>
      <c r="S8" s="4"/>
      <c r="U8" s="65"/>
      <c r="X8" s="4"/>
    </row>
    <row r="9" spans="4:24" ht="12.75">
      <c r="D9" t="s">
        <v>2</v>
      </c>
      <c r="G9" s="4"/>
      <c r="I9" s="4">
        <v>-2148.42</v>
      </c>
      <c r="J9" s="4"/>
      <c r="K9" s="4">
        <v>8308.95</v>
      </c>
      <c r="L9" s="4"/>
      <c r="M9" s="4">
        <f t="shared" si="0"/>
        <v>-10457.37</v>
      </c>
      <c r="O9" s="4">
        <v>8308.32</v>
      </c>
      <c r="Q9" s="4">
        <f t="shared" si="1"/>
        <v>-10456.74</v>
      </c>
      <c r="S9" s="4"/>
      <c r="U9" s="65"/>
      <c r="X9" s="4"/>
    </row>
    <row r="10" spans="4:24" ht="12.75">
      <c r="D10" t="s">
        <v>3</v>
      </c>
      <c r="G10" s="4"/>
      <c r="I10" s="4">
        <v>69758.46</v>
      </c>
      <c r="J10" s="4"/>
      <c r="K10" s="4">
        <v>79584.33</v>
      </c>
      <c r="L10" s="4"/>
      <c r="M10" s="4">
        <f t="shared" si="0"/>
        <v>-9825.869999999995</v>
      </c>
      <c r="O10" s="4">
        <v>63235</v>
      </c>
      <c r="Q10" s="4">
        <f t="shared" si="1"/>
        <v>6523.460000000006</v>
      </c>
      <c r="S10" s="4"/>
      <c r="U10" s="65"/>
      <c r="X10" s="4"/>
    </row>
    <row r="11" spans="4:24" ht="12.75">
      <c r="D11" t="s">
        <v>31</v>
      </c>
      <c r="G11" s="4"/>
      <c r="I11" s="4">
        <f>1587.61+37486</f>
        <v>39073.61</v>
      </c>
      <c r="J11" s="4"/>
      <c r="K11" s="4">
        <f>2146.47+14070.19</f>
        <v>16216.66</v>
      </c>
      <c r="L11" s="4"/>
      <c r="M11" s="4">
        <f t="shared" si="0"/>
        <v>22856.95</v>
      </c>
      <c r="O11" s="4">
        <f>1698.78+19829.23</f>
        <v>21528.01</v>
      </c>
      <c r="Q11" s="4">
        <f t="shared" si="1"/>
        <v>17545.600000000002</v>
      </c>
      <c r="S11" s="4"/>
      <c r="U11" s="65"/>
      <c r="X11" s="4"/>
    </row>
    <row r="12" spans="4:24" ht="12.75">
      <c r="D12" t="s">
        <v>30</v>
      </c>
      <c r="G12" s="4"/>
      <c r="I12" s="4">
        <v>93.16</v>
      </c>
      <c r="J12" s="4"/>
      <c r="K12" s="4">
        <v>4067.08</v>
      </c>
      <c r="L12" s="4"/>
      <c r="M12" s="4">
        <f t="shared" si="0"/>
        <v>-3973.92</v>
      </c>
      <c r="O12" s="4">
        <v>4073.88</v>
      </c>
      <c r="Q12" s="4">
        <f t="shared" si="1"/>
        <v>-3980.7200000000003</v>
      </c>
      <c r="S12" s="4"/>
      <c r="U12" s="65"/>
      <c r="X12" s="4"/>
    </row>
    <row r="13" spans="4:24" ht="12.75">
      <c r="D13" t="s">
        <v>29</v>
      </c>
      <c r="G13" s="4"/>
      <c r="I13" s="4">
        <v>5177.63</v>
      </c>
      <c r="J13" s="4"/>
      <c r="K13" s="4">
        <v>148.75</v>
      </c>
      <c r="L13" s="4"/>
      <c r="M13" s="4">
        <f t="shared" si="0"/>
        <v>5028.88</v>
      </c>
      <c r="O13" s="4">
        <v>680.26</v>
      </c>
      <c r="Q13" s="4">
        <f t="shared" si="1"/>
        <v>4497.37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833025.5599999999</v>
      </c>
      <c r="J16" s="5"/>
      <c r="K16" s="5">
        <f>SUM(K8:K14)</f>
        <v>843806.8099999998</v>
      </c>
      <c r="L16" s="5"/>
      <c r="M16" s="5">
        <f>SUM(M8:M14)</f>
        <v>-10781.249999999924</v>
      </c>
      <c r="N16" s="5"/>
      <c r="O16" s="5">
        <f>SUM(O8:O14)</f>
        <v>843674.48</v>
      </c>
      <c r="Q16" s="5">
        <f>SUM(Q8:Q14)</f>
        <v>-10648.920000000006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833025.5599999999</v>
      </c>
      <c r="J19" s="61"/>
      <c r="K19" s="61">
        <f>K16</f>
        <v>843806.8099999998</v>
      </c>
      <c r="L19" s="61"/>
      <c r="M19" s="61">
        <f>M16</f>
        <v>-10781.249999999924</v>
      </c>
      <c r="O19" s="61">
        <f>O16</f>
        <v>843674.48</v>
      </c>
      <c r="Q19" s="62">
        <f>SUM(I19-O19)</f>
        <v>-10648.920000000042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90319.98</v>
      </c>
      <c r="J23" s="4"/>
      <c r="K23" s="4">
        <v>79600.28</v>
      </c>
      <c r="L23" s="4"/>
      <c r="M23" s="4">
        <f aca="true" t="shared" si="2" ref="M23:M29">SUM(K23-I23)</f>
        <v>-10719.699999999997</v>
      </c>
      <c r="O23" s="4">
        <v>91881.77</v>
      </c>
      <c r="Q23" s="4">
        <f aca="true" t="shared" si="3" ref="Q23:Q29">SUM(O23-I23)</f>
        <v>1561.7900000000081</v>
      </c>
      <c r="S23" s="4"/>
      <c r="U23" s="65"/>
      <c r="X23" s="4"/>
    </row>
    <row r="24" spans="3:24" ht="12.75">
      <c r="C24" t="s">
        <v>9</v>
      </c>
      <c r="G24" s="4"/>
      <c r="I24" s="4">
        <f>36973.4+223956.77+20705.04+20443.69</f>
        <v>302078.89999999997</v>
      </c>
      <c r="J24" s="4"/>
      <c r="K24" s="4">
        <f>32808.66+234623.43+20369.4+22999</f>
        <v>310800.49</v>
      </c>
      <c r="L24" s="4"/>
      <c r="M24" s="4">
        <f t="shared" si="2"/>
        <v>8721.590000000026</v>
      </c>
      <c r="O24" s="4">
        <f>39644.55+240369.92+21387.86+29368.29</f>
        <v>330770.62</v>
      </c>
      <c r="Q24" s="4">
        <f t="shared" si="3"/>
        <v>28691.72000000003</v>
      </c>
      <c r="S24" s="4"/>
      <c r="U24" s="65"/>
      <c r="X24" s="4"/>
    </row>
    <row r="25" spans="3:24" ht="12.75">
      <c r="C25" s="3" t="s">
        <v>12</v>
      </c>
      <c r="G25" s="4"/>
      <c r="I25" s="4">
        <v>80008.97</v>
      </c>
      <c r="J25" s="4"/>
      <c r="K25" s="4">
        <v>69550.67</v>
      </c>
      <c r="L25" s="4"/>
      <c r="M25" s="4">
        <f t="shared" si="2"/>
        <v>-10458.300000000003</v>
      </c>
      <c r="O25" s="4">
        <v>74324.52</v>
      </c>
      <c r="Q25" s="4">
        <f t="shared" si="3"/>
        <v>-5684.449999999997</v>
      </c>
      <c r="S25" s="4"/>
      <c r="U25" s="65"/>
      <c r="X25" s="4"/>
    </row>
    <row r="26" spans="3:24" ht="12.75">
      <c r="C26" t="s">
        <v>33</v>
      </c>
      <c r="G26" s="4"/>
      <c r="I26" s="4">
        <f>11635.64+20321.2+4709.9+17338.16</f>
        <v>54004.899999999994</v>
      </c>
      <c r="J26" s="4" t="s">
        <v>18</v>
      </c>
      <c r="K26" s="4">
        <f>16198.13+11997.44+5067.29+21110.03</f>
        <v>54372.89</v>
      </c>
      <c r="L26" s="4"/>
      <c r="M26" s="4">
        <f t="shared" si="2"/>
        <v>367.99000000000524</v>
      </c>
      <c r="O26" s="4">
        <f>17866.45+18874.35+5142.5+12357.94</f>
        <v>54241.240000000005</v>
      </c>
      <c r="Q26" s="4">
        <f t="shared" si="3"/>
        <v>236.34000000001106</v>
      </c>
      <c r="S26" s="4"/>
      <c r="U26" s="65"/>
      <c r="X26" s="4"/>
    </row>
    <row r="27" spans="3:24" ht="12.75">
      <c r="C27" t="s">
        <v>10</v>
      </c>
      <c r="G27" s="4"/>
      <c r="I27" s="4">
        <v>49602.21</v>
      </c>
      <c r="J27" s="4"/>
      <c r="K27" s="4">
        <v>50580.56</v>
      </c>
      <c r="L27" s="4"/>
      <c r="M27" s="4">
        <f t="shared" si="2"/>
        <v>978.3499999999985</v>
      </c>
      <c r="O27" s="4">
        <v>48525.73</v>
      </c>
      <c r="Q27" s="4">
        <f t="shared" si="3"/>
        <v>-1076.479999999996</v>
      </c>
      <c r="S27" s="4"/>
      <c r="U27" s="65"/>
      <c r="X27" s="4"/>
    </row>
    <row r="28" spans="3:24" ht="12.75">
      <c r="C28" t="s">
        <v>11</v>
      </c>
      <c r="G28" s="4"/>
      <c r="I28" s="4">
        <v>7975.12</v>
      </c>
      <c r="J28" s="4"/>
      <c r="K28" s="4">
        <v>8267.6</v>
      </c>
      <c r="L28" s="4"/>
      <c r="M28" s="4">
        <f t="shared" si="2"/>
        <v>292.4800000000005</v>
      </c>
      <c r="O28" s="4">
        <v>8868.12</v>
      </c>
      <c r="Q28" s="4">
        <f t="shared" si="3"/>
        <v>893.0000000000009</v>
      </c>
      <c r="S28" s="4"/>
      <c r="U28" s="65"/>
      <c r="X28" s="4"/>
    </row>
    <row r="29" spans="3:24" ht="12.75">
      <c r="C29" s="3" t="s">
        <v>40</v>
      </c>
      <c r="G29" s="4"/>
      <c r="I29" s="4">
        <v>73515.24</v>
      </c>
      <c r="J29" s="4"/>
      <c r="K29" s="4">
        <v>41901.87</v>
      </c>
      <c r="L29" s="4"/>
      <c r="M29" s="4">
        <f t="shared" si="2"/>
        <v>-31613.370000000003</v>
      </c>
      <c r="O29" s="4">
        <v>58573.24</v>
      </c>
      <c r="Q29" s="4">
        <f t="shared" si="3"/>
        <v>-14942.000000000007</v>
      </c>
      <c r="S29" s="4"/>
      <c r="U29" s="65"/>
      <c r="X29" s="4"/>
    </row>
    <row r="30" spans="3:24" ht="12.75">
      <c r="C30" s="47" t="s">
        <v>41</v>
      </c>
      <c r="G30" s="4"/>
      <c r="I30" s="4">
        <v>32257.67</v>
      </c>
      <c r="J30" s="4"/>
      <c r="K30" s="4">
        <v>41509.93</v>
      </c>
      <c r="L30" s="4"/>
      <c r="M30" s="4">
        <f>SUM(K30-I30)</f>
        <v>9252.260000000002</v>
      </c>
      <c r="O30" s="4">
        <v>55461.39</v>
      </c>
      <c r="Q30" s="4">
        <f>SUM(O30-I30)</f>
        <v>23203.72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689762.99</v>
      </c>
      <c r="J34" s="5"/>
      <c r="K34" s="5">
        <f>SUM(K23:K32)</f>
        <v>656584.29</v>
      </c>
      <c r="L34" s="5"/>
      <c r="M34" s="5">
        <f>SUM(M23:M32)</f>
        <v>-33178.699999999975</v>
      </c>
      <c r="N34" s="4"/>
      <c r="O34" s="5">
        <f>SUM(O23:O32)</f>
        <v>722646.63</v>
      </c>
      <c r="Q34" s="5">
        <f>SUM(Q23:Q32)</f>
        <v>32883.64000000005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68387.5</v>
      </c>
      <c r="J37" s="4"/>
      <c r="K37" s="4">
        <v>35075</v>
      </c>
      <c r="L37" s="4"/>
      <c r="M37" s="4">
        <f>SUM(K37-I37)</f>
        <v>-33312.5</v>
      </c>
      <c r="O37" s="4">
        <v>68066.32</v>
      </c>
      <c r="Q37" s="4">
        <f>SUM(O37-I37)</f>
        <v>-321.179999999993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68387.5</v>
      </c>
      <c r="J39" s="10"/>
      <c r="K39" s="10">
        <v>69783.33</v>
      </c>
      <c r="L39" s="10"/>
      <c r="M39" s="4">
        <f>SUM(K39-I39)</f>
        <v>1395.8300000000017</v>
      </c>
      <c r="N39" s="10"/>
      <c r="O39" s="10">
        <f>SUM(O37:O37)</f>
        <v>68066.32</v>
      </c>
      <c r="Q39" s="4">
        <f>SUM(O39-I39)</f>
        <v>-321.179999999993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758150.49</v>
      </c>
      <c r="J41" s="61"/>
      <c r="K41" s="61">
        <f>K34+K39</f>
        <v>726367.62</v>
      </c>
      <c r="L41" s="61"/>
      <c r="M41" s="61">
        <f>M34+M39</f>
        <v>-31782.869999999974</v>
      </c>
      <c r="O41" s="61">
        <f>O34+O39</f>
        <v>790712.95</v>
      </c>
      <c r="Q41" s="61">
        <f>Q34+Q39</f>
        <v>32562.460000000057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74875.06999999995</v>
      </c>
      <c r="J43" s="62"/>
      <c r="K43" s="62">
        <f>K19-K41</f>
        <v>117439.18999999983</v>
      </c>
      <c r="L43" s="62"/>
      <c r="M43" s="62">
        <f>SUM(M41+M19)</f>
        <v>-42564.11999999989</v>
      </c>
      <c r="O43" s="62">
        <f>O19-O41</f>
        <v>52961.53000000003</v>
      </c>
      <c r="Q43" s="62">
        <f>Q19+Q41</f>
        <v>21913.540000000015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74" t="s">
        <v>74</v>
      </c>
      <c r="J45" s="4"/>
      <c r="K45" s="4"/>
      <c r="L45" s="4"/>
    </row>
    <row r="46" spans="1:15" ht="12.75">
      <c r="A46" t="s">
        <v>65</v>
      </c>
      <c r="G46" s="4"/>
      <c r="I46" s="4">
        <v>163228.15</v>
      </c>
      <c r="J46" s="4"/>
      <c r="K46" s="69" t="s">
        <v>67</v>
      </c>
      <c r="L46" s="70"/>
      <c r="M46" s="71"/>
      <c r="N46" s="71"/>
      <c r="O46" s="72"/>
    </row>
    <row r="47" spans="2:17" ht="12.75">
      <c r="B47" t="s">
        <v>66</v>
      </c>
      <c r="G47" s="4"/>
      <c r="I47" s="4"/>
      <c r="J47" s="4"/>
      <c r="K47" s="73" t="s">
        <v>68</v>
      </c>
      <c r="L47" s="70"/>
      <c r="M47" s="71">
        <v>120000</v>
      </c>
      <c r="N47" s="71"/>
      <c r="O47" s="73" t="s">
        <v>71</v>
      </c>
      <c r="P47" s="70"/>
      <c r="Q47" s="71">
        <v>49000</v>
      </c>
    </row>
    <row r="48" spans="1:17" ht="12.75">
      <c r="A48" t="s">
        <v>63</v>
      </c>
      <c r="G48" s="4"/>
      <c r="I48" s="4">
        <v>52156.38</v>
      </c>
      <c r="J48" s="4"/>
      <c r="K48" s="73" t="s">
        <v>69</v>
      </c>
      <c r="L48" s="70"/>
      <c r="M48" s="71">
        <v>25000</v>
      </c>
      <c r="N48" s="71"/>
      <c r="O48" s="73" t="s">
        <v>72</v>
      </c>
      <c r="P48" s="70"/>
      <c r="Q48" s="71">
        <v>30000</v>
      </c>
    </row>
    <row r="49" spans="1:15" ht="12.75">
      <c r="A49" s="47" t="s">
        <v>73</v>
      </c>
      <c r="B49" s="3"/>
      <c r="G49" s="4"/>
      <c r="I49" s="4">
        <v>149561.83</v>
      </c>
      <c r="J49" s="4"/>
      <c r="K49" s="73" t="s">
        <v>70</v>
      </c>
      <c r="L49" s="70"/>
      <c r="M49" s="71">
        <v>49000</v>
      </c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43404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75</v>
      </c>
      <c r="J5" s="23"/>
      <c r="K5" s="23" t="s">
        <v>76</v>
      </c>
      <c r="L5" s="23"/>
      <c r="M5" s="26" t="s">
        <v>27</v>
      </c>
      <c r="O5" s="23" t="s">
        <v>75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371859.33+44159.57+7200</f>
        <v>423218.9</v>
      </c>
      <c r="J8" s="4"/>
      <c r="K8" s="4">
        <f>373796.55+41332.92+7170</f>
        <v>422299.47</v>
      </c>
      <c r="L8" s="4"/>
      <c r="M8" s="4">
        <f aca="true" t="shared" si="0" ref="M8:M14">SUM(I8-K8)</f>
        <v>919.4300000000512</v>
      </c>
      <c r="O8" s="4">
        <f>390247.31+36752.02+7437.48</f>
        <v>434436.81</v>
      </c>
      <c r="Q8" s="4">
        <f aca="true" t="shared" si="1" ref="Q8:Q14">SUM(I8-O8)</f>
        <v>-11217.909999999974</v>
      </c>
      <c r="S8" s="4"/>
      <c r="U8" s="65"/>
      <c r="X8" s="4"/>
    </row>
    <row r="9" spans="4:24" ht="12.75">
      <c r="D9" t="s">
        <v>2</v>
      </c>
      <c r="G9" s="4"/>
      <c r="I9" s="4">
        <v>30733.18</v>
      </c>
      <c r="J9" s="4"/>
      <c r="K9" s="4">
        <v>-8202.2</v>
      </c>
      <c r="L9" s="4"/>
      <c r="M9" s="4">
        <f t="shared" si="0"/>
        <v>38935.380000000005</v>
      </c>
      <c r="O9" s="4">
        <v>32966.17</v>
      </c>
      <c r="Q9" s="4">
        <f t="shared" si="1"/>
        <v>-2232.989999999998</v>
      </c>
      <c r="S9" s="4"/>
      <c r="U9" s="65"/>
      <c r="X9" s="4"/>
    </row>
    <row r="10" spans="4:24" ht="12.75">
      <c r="D10" t="s">
        <v>3</v>
      </c>
      <c r="G10" s="4"/>
      <c r="I10" s="4">
        <v>61463.33</v>
      </c>
      <c r="J10" s="4"/>
      <c r="K10" s="4">
        <v>62649.46</v>
      </c>
      <c r="L10" s="4"/>
      <c r="M10" s="4">
        <f t="shared" si="0"/>
        <v>-1186.1299999999974</v>
      </c>
      <c r="O10" s="4">
        <v>54819.17</v>
      </c>
      <c r="Q10" s="4">
        <f t="shared" si="1"/>
        <v>6644.1600000000035</v>
      </c>
      <c r="S10" s="4"/>
      <c r="U10" s="65"/>
      <c r="X10" s="4"/>
    </row>
    <row r="11" spans="4:24" ht="12.75">
      <c r="D11" t="s">
        <v>31</v>
      </c>
      <c r="G11" s="4"/>
      <c r="I11" s="4">
        <f>3910.85+14295</f>
        <v>18205.85</v>
      </c>
      <c r="J11" s="4"/>
      <c r="K11" s="4">
        <f>1183.5+27710</f>
        <v>28893.5</v>
      </c>
      <c r="L11" s="4"/>
      <c r="M11" s="4">
        <f t="shared" si="0"/>
        <v>-10687.650000000001</v>
      </c>
      <c r="O11" s="4">
        <f>1325.49+24903.2</f>
        <v>26228.690000000002</v>
      </c>
      <c r="Q11" s="4">
        <f t="shared" si="1"/>
        <v>-8022.840000000004</v>
      </c>
      <c r="S11" s="4"/>
      <c r="U11" s="65"/>
      <c r="X11" s="4"/>
    </row>
    <row r="12" spans="4:24" ht="12.75">
      <c r="D12" t="s">
        <v>30</v>
      </c>
      <c r="G12" s="4"/>
      <c r="I12" s="4">
        <v>282.3</v>
      </c>
      <c r="J12" s="4"/>
      <c r="K12" s="4">
        <v>72.39</v>
      </c>
      <c r="L12" s="4"/>
      <c r="M12" s="4">
        <f t="shared" si="0"/>
        <v>209.91000000000003</v>
      </c>
      <c r="O12" s="4">
        <v>52.62</v>
      </c>
      <c r="Q12" s="4">
        <f t="shared" si="1"/>
        <v>229.68</v>
      </c>
      <c r="S12" s="4"/>
      <c r="U12" s="65"/>
      <c r="X12" s="4"/>
    </row>
    <row r="13" spans="4:24" ht="12.75">
      <c r="D13" t="s">
        <v>29</v>
      </c>
      <c r="G13" s="4"/>
      <c r="I13" s="4">
        <f>949.6+2733.43</f>
        <v>3683.0299999999997</v>
      </c>
      <c r="J13" s="4"/>
      <c r="K13" s="4">
        <v>2610.82</v>
      </c>
      <c r="L13" s="4"/>
      <c r="M13" s="4">
        <f t="shared" si="0"/>
        <v>1072.2099999999996</v>
      </c>
      <c r="O13" s="4">
        <v>3289.32</v>
      </c>
      <c r="Q13" s="4">
        <f t="shared" si="1"/>
        <v>393.7099999999996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537586.5900000001</v>
      </c>
      <c r="J16" s="5"/>
      <c r="K16" s="5">
        <f>SUM(K8:K14)</f>
        <v>508323.44</v>
      </c>
      <c r="L16" s="5"/>
      <c r="M16" s="5">
        <f>SUM(M8:M14)</f>
        <v>29263.150000000056</v>
      </c>
      <c r="N16" s="5"/>
      <c r="O16" s="5">
        <f>SUM(O8:O14)</f>
        <v>551792.7799999999</v>
      </c>
      <c r="Q16" s="5">
        <f>SUM(Q8:Q14)</f>
        <v>-14206.189999999973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537586.5900000001</v>
      </c>
      <c r="J19" s="61"/>
      <c r="K19" s="61">
        <f>K16</f>
        <v>508323.44</v>
      </c>
      <c r="L19" s="61"/>
      <c r="M19" s="61">
        <f>M16</f>
        <v>29263.150000000056</v>
      </c>
      <c r="O19" s="61">
        <f>O16</f>
        <v>551792.7799999999</v>
      </c>
      <c r="Q19" s="62">
        <f>SUM(I19-O19)</f>
        <v>-14206.189999999828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60933.32</v>
      </c>
      <c r="J23" s="4"/>
      <c r="K23" s="4">
        <v>60213.32</v>
      </c>
      <c r="L23" s="4"/>
      <c r="M23" s="4">
        <f aca="true" t="shared" si="2" ref="M23:M29">SUM(K23-I23)</f>
        <v>-720</v>
      </c>
      <c r="O23" s="4">
        <v>61722.67</v>
      </c>
      <c r="Q23" s="4">
        <f aca="true" t="shared" si="3" ref="Q23:Q29">SUM(O23-I23)</f>
        <v>789.3499999999985</v>
      </c>
      <c r="S23" s="4"/>
      <c r="U23" s="65"/>
      <c r="X23" s="4"/>
    </row>
    <row r="24" spans="3:24" ht="12.75">
      <c r="C24" t="s">
        <v>9</v>
      </c>
      <c r="G24" s="4"/>
      <c r="I24" s="4">
        <f>18711.2+148420.93+805.32+16367.24+22676.98</f>
        <v>206981.67</v>
      </c>
      <c r="J24" s="4"/>
      <c r="K24" s="4">
        <f>22191.2+153708.5+0+13803.36+12457.16</f>
        <v>202160.22</v>
      </c>
      <c r="L24" s="4"/>
      <c r="M24" s="4">
        <f t="shared" si="2"/>
        <v>-4821.450000000012</v>
      </c>
      <c r="O24" s="4">
        <f>41265.26+155871.08+15183.7+14281.27</f>
        <v>226601.31</v>
      </c>
      <c r="Q24" s="4">
        <f t="shared" si="3"/>
        <v>19619.639999999985</v>
      </c>
      <c r="S24" s="4"/>
      <c r="U24" s="65"/>
      <c r="X24" s="4"/>
    </row>
    <row r="25" spans="3:24" ht="12.75">
      <c r="C25" s="3" t="s">
        <v>12</v>
      </c>
      <c r="G25" s="4"/>
      <c r="I25" s="4">
        <v>47187.24</v>
      </c>
      <c r="J25" s="4"/>
      <c r="K25" s="4">
        <v>54493.39</v>
      </c>
      <c r="L25" s="4"/>
      <c r="M25" s="4">
        <f t="shared" si="2"/>
        <v>7306.1500000000015</v>
      </c>
      <c r="O25" s="4">
        <v>53685.85</v>
      </c>
      <c r="Q25" s="4">
        <f t="shared" si="3"/>
        <v>6498.610000000001</v>
      </c>
      <c r="S25" s="4"/>
      <c r="U25" s="65"/>
      <c r="X25" s="4"/>
    </row>
    <row r="26" spans="3:24" ht="12.75">
      <c r="C26" t="s">
        <v>33</v>
      </c>
      <c r="G26" s="4"/>
      <c r="I26" s="4">
        <f>11595.07+13367.47+2408.9+5630.08</f>
        <v>33001.520000000004</v>
      </c>
      <c r="J26" s="4" t="s">
        <v>18</v>
      </c>
      <c r="K26" s="4">
        <f>8357.56+12610.29+2972.42+9893.04</f>
        <v>33833.31</v>
      </c>
      <c r="L26" s="4"/>
      <c r="M26" s="4">
        <f t="shared" si="2"/>
        <v>831.7899999999936</v>
      </c>
      <c r="O26" s="4">
        <f>8692.73+16206.29+3167.84+11389.32</f>
        <v>39456.18</v>
      </c>
      <c r="Q26" s="4">
        <f t="shared" si="3"/>
        <v>6454.659999999996</v>
      </c>
      <c r="S26" s="4"/>
      <c r="U26" s="65"/>
      <c r="X26" s="4"/>
    </row>
    <row r="27" spans="3:24" ht="12.75">
      <c r="C27" t="s">
        <v>10</v>
      </c>
      <c r="G27" s="4"/>
      <c r="I27" s="4">
        <v>35174.91</v>
      </c>
      <c r="J27" s="4"/>
      <c r="K27" s="4">
        <v>38215.76</v>
      </c>
      <c r="L27" s="4"/>
      <c r="M27" s="4">
        <f t="shared" si="2"/>
        <v>3040.8499999999985</v>
      </c>
      <c r="O27" s="4">
        <v>48769.01</v>
      </c>
      <c r="Q27" s="4">
        <f t="shared" si="3"/>
        <v>13594.099999999999</v>
      </c>
      <c r="S27" s="4"/>
      <c r="U27" s="65"/>
      <c r="X27" s="4"/>
    </row>
    <row r="28" spans="3:24" ht="12.75">
      <c r="C28" t="s">
        <v>11</v>
      </c>
      <c r="G28" s="4"/>
      <c r="I28" s="4">
        <v>7511.01</v>
      </c>
      <c r="J28" s="4"/>
      <c r="K28" s="4">
        <v>6687.87</v>
      </c>
      <c r="L28" s="4"/>
      <c r="M28" s="4">
        <f t="shared" si="2"/>
        <v>-823.1400000000003</v>
      </c>
      <c r="O28" s="4">
        <v>11793.55</v>
      </c>
      <c r="Q28" s="4">
        <f t="shared" si="3"/>
        <v>4282.539999999999</v>
      </c>
      <c r="S28" s="4"/>
      <c r="U28" s="65"/>
      <c r="X28" s="4"/>
    </row>
    <row r="29" spans="3:24" ht="12.75">
      <c r="C29" s="3" t="s">
        <v>40</v>
      </c>
      <c r="G29" s="4"/>
      <c r="I29" s="4">
        <f>34704.79+20234.08+4540.34</f>
        <v>59479.21000000001</v>
      </c>
      <c r="J29" s="4"/>
      <c r="K29" s="4">
        <f>38349.22+1915.41+1703.23</f>
        <v>41967.86000000001</v>
      </c>
      <c r="L29" s="4"/>
      <c r="M29" s="4">
        <f t="shared" si="2"/>
        <v>-17511.35</v>
      </c>
      <c r="O29" s="4">
        <v>70127.36</v>
      </c>
      <c r="Q29" s="4">
        <f t="shared" si="3"/>
        <v>10648.149999999994</v>
      </c>
      <c r="S29" s="4"/>
      <c r="U29" s="65"/>
      <c r="X29" s="4"/>
    </row>
    <row r="30" spans="3:24" ht="12.75">
      <c r="C30" s="47" t="s">
        <v>41</v>
      </c>
      <c r="G30" s="4"/>
      <c r="I30" s="4">
        <f>10071.62+3962.05+7904.45</f>
        <v>21938.120000000003</v>
      </c>
      <c r="J30" s="4"/>
      <c r="K30" s="4">
        <f>9708.52+3773.52+7600.65</f>
        <v>21082.690000000002</v>
      </c>
      <c r="L30" s="4"/>
      <c r="M30" s="4">
        <f>SUM(K30-I30)</f>
        <v>-855.4300000000003</v>
      </c>
      <c r="O30" s="4">
        <v>29135.89</v>
      </c>
      <c r="Q30" s="4">
        <f>SUM(O30-I30)</f>
        <v>7197.769999999997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472207.00000000006</v>
      </c>
      <c r="J34" s="5"/>
      <c r="K34" s="5">
        <f>SUM(K23:K32)</f>
        <v>458654.42</v>
      </c>
      <c r="L34" s="5"/>
      <c r="M34" s="5">
        <f>SUM(M23:M32)</f>
        <v>-13552.580000000016</v>
      </c>
      <c r="N34" s="4"/>
      <c r="O34" s="5">
        <f>SUM(O23:O32)</f>
        <v>541291.82</v>
      </c>
      <c r="Q34" s="5">
        <f>SUM(Q23:Q32)</f>
        <v>69084.81999999998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33250</v>
      </c>
      <c r="J37" s="4"/>
      <c r="K37" s="4">
        <v>34193.75</v>
      </c>
      <c r="L37" s="4"/>
      <c r="M37" s="4">
        <f>SUM(K37-I37)</f>
        <v>943.75</v>
      </c>
      <c r="O37" s="4">
        <v>33500</v>
      </c>
      <c r="Q37" s="4">
        <f>SUM(O37-I37)</f>
        <v>250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33250</v>
      </c>
      <c r="J39" s="10"/>
      <c r="K39" s="10">
        <f>SUM(K37:K37)</f>
        <v>34193.75</v>
      </c>
      <c r="L39" s="10"/>
      <c r="M39" s="4">
        <f>SUM(K39-I39)</f>
        <v>943.75</v>
      </c>
      <c r="N39" s="10"/>
      <c r="O39" s="10">
        <f>SUM(O37:O37)</f>
        <v>33500</v>
      </c>
      <c r="Q39" s="4">
        <f>SUM(O39-I39)</f>
        <v>250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505457.00000000006</v>
      </c>
      <c r="J41" s="61"/>
      <c r="K41" s="61">
        <f>K34+K39</f>
        <v>492848.17</v>
      </c>
      <c r="L41" s="61"/>
      <c r="M41" s="61">
        <f>M34+M39</f>
        <v>-12608.830000000016</v>
      </c>
      <c r="O41" s="61">
        <f>O34+O39</f>
        <v>574791.82</v>
      </c>
      <c r="Q41" s="61">
        <f>Q34+Q39</f>
        <v>69334.81999999998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32129.590000000026</v>
      </c>
      <c r="J43" s="62"/>
      <c r="K43" s="62">
        <f>K19-K41</f>
        <v>15475.270000000019</v>
      </c>
      <c r="L43" s="62"/>
      <c r="M43" s="62">
        <f>SUM(M41+M19)</f>
        <v>16654.32000000004</v>
      </c>
      <c r="O43" s="62">
        <f>O19-O41</f>
        <v>-22999.040000000037</v>
      </c>
      <c r="Q43" s="62">
        <f>Q19+Q41</f>
        <v>55128.63000000015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4:12" ht="12.75">
      <c r="D45" s="74" t="s">
        <v>74</v>
      </c>
      <c r="G45" s="4"/>
      <c r="J45" s="4"/>
      <c r="K45" s="4"/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43585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78</v>
      </c>
      <c r="J5" s="23"/>
      <c r="K5" s="23" t="s">
        <v>79</v>
      </c>
      <c r="L5" s="23"/>
      <c r="M5" s="26" t="s">
        <v>27</v>
      </c>
      <c r="O5" s="23" t="s">
        <v>78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909302.56+244113.83+18300</f>
        <v>1171716.3900000001</v>
      </c>
      <c r="J8" s="4"/>
      <c r="K8" s="4">
        <f>932509.68+250205.87+15020</f>
        <v>1197735.55</v>
      </c>
      <c r="L8" s="4"/>
      <c r="M8" s="4">
        <f aca="true" t="shared" si="0" ref="M8:M14">SUM(I8-K8)</f>
        <v>-26019.159999999916</v>
      </c>
      <c r="O8" s="4">
        <f>973451.9+243678.65+15610.9</f>
        <v>1232741.45</v>
      </c>
      <c r="Q8" s="4">
        <f aca="true" t="shared" si="1" ref="Q8:Q14">SUM(I8-O8)</f>
        <v>-61025.05999999982</v>
      </c>
      <c r="S8" s="4"/>
      <c r="U8" s="65"/>
      <c r="X8" s="4"/>
    </row>
    <row r="9" spans="4:24" ht="12.75">
      <c r="D9" t="s">
        <v>2</v>
      </c>
      <c r="G9" s="4"/>
      <c r="I9" s="4">
        <v>65016.44</v>
      </c>
      <c r="J9" s="4"/>
      <c r="K9" s="4">
        <v>-5762.4</v>
      </c>
      <c r="L9" s="4"/>
      <c r="M9" s="4">
        <f t="shared" si="0"/>
        <v>70778.84</v>
      </c>
      <c r="O9" s="4">
        <v>39774.37</v>
      </c>
      <c r="Q9" s="4">
        <f t="shared" si="1"/>
        <v>25242.07</v>
      </c>
      <c r="S9" s="4"/>
      <c r="U9" s="65"/>
      <c r="X9" s="4"/>
    </row>
    <row r="10" spans="4:24" ht="12.75">
      <c r="D10" t="s">
        <v>3</v>
      </c>
      <c r="G10" s="4"/>
      <c r="I10" s="4">
        <v>76105.6</v>
      </c>
      <c r="J10" s="4"/>
      <c r="K10" s="4">
        <v>84075.74</v>
      </c>
      <c r="L10" s="4"/>
      <c r="M10" s="4">
        <f t="shared" si="0"/>
        <v>-7970.139999999999</v>
      </c>
      <c r="O10" s="4">
        <v>78529.87</v>
      </c>
      <c r="Q10" s="4">
        <f t="shared" si="1"/>
        <v>-2424.2699999999895</v>
      </c>
      <c r="S10" s="4"/>
      <c r="U10" s="65"/>
      <c r="X10" s="4"/>
    </row>
    <row r="11" spans="4:24" ht="12.75">
      <c r="D11" t="s">
        <v>31</v>
      </c>
      <c r="G11" s="4"/>
      <c r="I11" s="4">
        <f>7291.29+49108</f>
        <v>56399.29</v>
      </c>
      <c r="J11" s="4"/>
      <c r="K11" s="4">
        <f>2550.88+54355</f>
        <v>56905.88</v>
      </c>
      <c r="L11" s="4"/>
      <c r="M11" s="4">
        <f t="shared" si="0"/>
        <v>-506.5899999999965</v>
      </c>
      <c r="O11" s="4">
        <f>2856.92+48350.89</f>
        <v>51207.81</v>
      </c>
      <c r="Q11" s="4">
        <f t="shared" si="1"/>
        <v>5191.480000000003</v>
      </c>
      <c r="S11" s="4"/>
      <c r="U11" s="65"/>
      <c r="X11" s="4"/>
    </row>
    <row r="12" spans="4:24" ht="12.75">
      <c r="D12" t="s">
        <v>30</v>
      </c>
      <c r="G12" s="4"/>
      <c r="I12" s="4">
        <v>9283.91</v>
      </c>
      <c r="J12" s="4"/>
      <c r="K12" s="4">
        <v>4352.12</v>
      </c>
      <c r="L12" s="4"/>
      <c r="M12" s="4">
        <f t="shared" si="0"/>
        <v>4931.79</v>
      </c>
      <c r="O12" s="4">
        <v>4265.93</v>
      </c>
      <c r="Q12" s="4">
        <f t="shared" si="1"/>
        <v>5017.98</v>
      </c>
      <c r="S12" s="4"/>
      <c r="U12" s="65"/>
      <c r="X12" s="4"/>
    </row>
    <row r="13" spans="4:24" ht="12.75">
      <c r="D13" t="s">
        <v>29</v>
      </c>
      <c r="G13" s="4"/>
      <c r="I13" s="4">
        <f>949.6+8186.04+26000</f>
        <v>35135.64</v>
      </c>
      <c r="J13" s="4"/>
      <c r="K13" s="4">
        <f>10000+7911.06</f>
        <v>17911.06</v>
      </c>
      <c r="L13" s="4"/>
      <c r="M13" s="4">
        <f t="shared" si="0"/>
        <v>17224.579999999998</v>
      </c>
      <c r="O13" s="4">
        <v>7899.79</v>
      </c>
      <c r="Q13" s="4">
        <f t="shared" si="1"/>
        <v>27235.85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1413657.27</v>
      </c>
      <c r="J16" s="5"/>
      <c r="K16" s="5">
        <f>SUM(K8:K14)</f>
        <v>1355217.9500000002</v>
      </c>
      <c r="L16" s="5"/>
      <c r="M16" s="5">
        <f>SUM(M8:M14)</f>
        <v>58439.32000000008</v>
      </c>
      <c r="N16" s="5"/>
      <c r="O16" s="5">
        <f>SUM(O8:O14)</f>
        <v>1414419.22</v>
      </c>
      <c r="Q16" s="5">
        <f>SUM(Q8:Q14)</f>
        <v>-761.9499999998116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1413657.27</v>
      </c>
      <c r="J19" s="61"/>
      <c r="K19" s="61">
        <f>K16</f>
        <v>1355217.9500000002</v>
      </c>
      <c r="L19" s="61"/>
      <c r="M19" s="61">
        <f>M16</f>
        <v>58439.32000000008</v>
      </c>
      <c r="O19" s="61">
        <f>O16</f>
        <v>1414419.22</v>
      </c>
      <c r="Q19" s="62">
        <f>SUM(I19-O19)</f>
        <v>-761.9499999999534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152333.3</v>
      </c>
      <c r="J23" s="4"/>
      <c r="K23" s="4">
        <v>150533.3</v>
      </c>
      <c r="L23" s="4"/>
      <c r="M23" s="4">
        <f aca="true" t="shared" si="2" ref="M23:M29">SUM(K23-I23)</f>
        <v>-1800</v>
      </c>
      <c r="O23" s="4">
        <v>154306.67</v>
      </c>
      <c r="Q23" s="4">
        <f aca="true" t="shared" si="3" ref="Q23:Q29">SUM(O23-I23)</f>
        <v>1973.3700000000244</v>
      </c>
      <c r="S23" s="4"/>
      <c r="U23" s="65"/>
      <c r="X23" s="4"/>
    </row>
    <row r="24" spans="3:24" ht="12.75">
      <c r="C24" t="s">
        <v>9</v>
      </c>
      <c r="G24" s="4"/>
      <c r="I24" s="4">
        <f>55505.67+369616.03+2013.3+36443.1+61331.14</f>
        <v>524909.24</v>
      </c>
      <c r="J24" s="4"/>
      <c r="K24" s="4">
        <f>59344.6+375691.62+34508.4+45918.53</f>
        <v>515463.15</v>
      </c>
      <c r="L24" s="4"/>
      <c r="M24" s="4">
        <f t="shared" si="2"/>
        <v>-9446.089999999967</v>
      </c>
      <c r="O24" s="4">
        <f>108007.64+380891.77+37959.24+51709.6</f>
        <v>578568.25</v>
      </c>
      <c r="Q24" s="4">
        <f t="shared" si="3"/>
        <v>53659.01000000001</v>
      </c>
      <c r="S24" s="4"/>
      <c r="U24" s="65"/>
      <c r="X24" s="4"/>
    </row>
    <row r="25" spans="3:24" ht="12.75">
      <c r="C25" s="3" t="s">
        <v>12</v>
      </c>
      <c r="G25" s="4"/>
      <c r="I25" s="4">
        <v>122726.86</v>
      </c>
      <c r="J25" s="4"/>
      <c r="K25" s="4">
        <v>131617.65</v>
      </c>
      <c r="L25" s="4"/>
      <c r="M25" s="4">
        <f t="shared" si="2"/>
        <v>8890.789999999994</v>
      </c>
      <c r="O25" s="4">
        <v>130536.25</v>
      </c>
      <c r="Q25" s="4">
        <f t="shared" si="3"/>
        <v>7809.389999999999</v>
      </c>
      <c r="S25" s="4"/>
      <c r="U25" s="65"/>
      <c r="X25" s="4"/>
    </row>
    <row r="26" spans="3:24" ht="12.75">
      <c r="C26" t="s">
        <v>33</v>
      </c>
      <c r="G26" s="4"/>
      <c r="I26" s="4">
        <f>29724.76+28752.86+6616.76+15811.07</f>
        <v>80905.45</v>
      </c>
      <c r="J26" s="4" t="s">
        <v>18</v>
      </c>
      <c r="K26" s="4">
        <f>27678.79+28431.08+8482.19+24900.85</f>
        <v>89492.91</v>
      </c>
      <c r="L26" s="4"/>
      <c r="M26" s="4">
        <f t="shared" si="2"/>
        <v>8587.460000000006</v>
      </c>
      <c r="O26" s="4">
        <f>25987.46+32237.78+7920.97+27328.87</f>
        <v>93475.07999999999</v>
      </c>
      <c r="Q26" s="4">
        <f t="shared" si="3"/>
        <v>12569.62999999999</v>
      </c>
      <c r="S26" s="4"/>
      <c r="U26" s="65"/>
      <c r="X26" s="4"/>
    </row>
    <row r="27" spans="3:24" ht="12.75">
      <c r="C27" t="s">
        <v>10</v>
      </c>
      <c r="G27" s="4"/>
      <c r="I27" s="4">
        <v>60945.92</v>
      </c>
      <c r="J27" s="4"/>
      <c r="K27" s="4">
        <v>73877.79</v>
      </c>
      <c r="L27" s="4"/>
      <c r="M27" s="4">
        <f t="shared" si="2"/>
        <v>12931.869999999995</v>
      </c>
      <c r="O27" s="4">
        <v>95098.5</v>
      </c>
      <c r="Q27" s="4">
        <f t="shared" si="3"/>
        <v>34152.58</v>
      </c>
      <c r="S27" s="4"/>
      <c r="U27" s="65"/>
      <c r="X27" s="4"/>
    </row>
    <row r="28" spans="3:24" ht="12.75">
      <c r="C28" t="s">
        <v>11</v>
      </c>
      <c r="G28" s="4"/>
      <c r="I28" s="4">
        <v>15288.85</v>
      </c>
      <c r="J28" s="4"/>
      <c r="K28" s="4">
        <v>13571.33</v>
      </c>
      <c r="L28" s="4"/>
      <c r="M28" s="4">
        <f t="shared" si="2"/>
        <v>-1717.5200000000004</v>
      </c>
      <c r="O28" s="4">
        <v>20610.98</v>
      </c>
      <c r="Q28" s="4">
        <f t="shared" si="3"/>
        <v>5322.129999999999</v>
      </c>
      <c r="S28" s="4"/>
      <c r="U28" s="65"/>
      <c r="X28" s="4"/>
    </row>
    <row r="29" spans="3:24" ht="12.75">
      <c r="C29" s="3" t="s">
        <v>40</v>
      </c>
      <c r="G29" s="4"/>
      <c r="I29" s="4">
        <f>82840.34+22897.49+15789.71</f>
        <v>121527.54000000001</v>
      </c>
      <c r="J29" s="4"/>
      <c r="K29" s="4">
        <f>95328.77+5942.57+4711.08</f>
        <v>105982.42</v>
      </c>
      <c r="L29" s="4"/>
      <c r="M29" s="4">
        <f t="shared" si="2"/>
        <v>-15545.12000000001</v>
      </c>
      <c r="O29" s="4">
        <v>169532.84</v>
      </c>
      <c r="Q29" s="4">
        <f t="shared" si="3"/>
        <v>48005.29999999999</v>
      </c>
      <c r="S29" s="4"/>
      <c r="U29" s="65"/>
      <c r="X29" s="4"/>
    </row>
    <row r="30" spans="3:24" ht="12.75">
      <c r="C30" s="47" t="s">
        <v>41</v>
      </c>
      <c r="G30" s="4"/>
      <c r="I30" s="4">
        <f>32326.29+11140.05+28925.61</f>
        <v>72391.95</v>
      </c>
      <c r="J30" s="4"/>
      <c r="K30" s="4">
        <f>25502.18+9728.35+22340.63</f>
        <v>57571.16</v>
      </c>
      <c r="L30" s="4"/>
      <c r="M30" s="4">
        <f>SUM(K30-I30)</f>
        <v>-14820.789999999994</v>
      </c>
      <c r="O30" s="4">
        <v>81448.85</v>
      </c>
      <c r="Q30" s="4">
        <f>SUM(O30-I30)</f>
        <v>9056.900000000009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1151029.1099999999</v>
      </c>
      <c r="J34" s="5"/>
      <c r="K34" s="5">
        <f>SUM(K23:K32)</f>
        <v>1138109.71</v>
      </c>
      <c r="L34" s="5"/>
      <c r="M34" s="5">
        <f>SUM(M23:M32)</f>
        <v>-12919.399999999976</v>
      </c>
      <c r="N34" s="4"/>
      <c r="O34" s="5">
        <f>SUM(O23:O32)</f>
        <v>1323577.4200000002</v>
      </c>
      <c r="Q34" s="5">
        <f>SUM(Q23:Q32)</f>
        <v>172548.31000000006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1283029.1099999999</v>
      </c>
      <c r="J41" s="61"/>
      <c r="K41" s="61">
        <f>K34+K39</f>
        <v>1274884.71</v>
      </c>
      <c r="L41" s="61"/>
      <c r="M41" s="61">
        <f>M34+M39</f>
        <v>-8144.399999999976</v>
      </c>
      <c r="O41" s="61">
        <f>O34+O39</f>
        <v>1457577.4200000002</v>
      </c>
      <c r="Q41" s="61">
        <f>Q34+Q39</f>
        <v>174548.31000000006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130628.16000000015</v>
      </c>
      <c r="J43" s="62"/>
      <c r="K43" s="62">
        <f>K19-K41</f>
        <v>80333.24000000022</v>
      </c>
      <c r="L43" s="62"/>
      <c r="M43" s="62">
        <f>SUM(M41+M19)</f>
        <v>50294.9200000001</v>
      </c>
      <c r="O43" s="62">
        <f>O19-O41</f>
        <v>-43158.200000000186</v>
      </c>
      <c r="Q43" s="62">
        <f>Q19+Q41</f>
        <v>173786.3600000001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v>215384.53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43646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80</v>
      </c>
      <c r="J5" s="23"/>
      <c r="K5" s="23" t="s">
        <v>81</v>
      </c>
      <c r="L5" s="23"/>
      <c r="M5" s="26" t="s">
        <v>27</v>
      </c>
      <c r="O5" s="23" t="s">
        <v>80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1083079.47+311330.6+20450</f>
        <v>1414860.0699999998</v>
      </c>
      <c r="J8" s="4"/>
      <c r="K8" s="4">
        <f>1099663.15+328775.47+17120</f>
        <v>1445558.6199999999</v>
      </c>
      <c r="L8" s="4"/>
      <c r="M8" s="4">
        <f aca="true" t="shared" si="0" ref="M8:M14">SUM(I8-K8)</f>
        <v>-30698.550000000047</v>
      </c>
      <c r="O8" s="4">
        <f>1147944.38+296001.32+17778.6</f>
        <v>1461724.3</v>
      </c>
      <c r="Q8" s="4">
        <f aca="true" t="shared" si="1" ref="Q8:Q14">SUM(I8-O8)</f>
        <v>-46864.230000000214</v>
      </c>
      <c r="S8" s="4"/>
      <c r="U8" s="65"/>
      <c r="X8" s="4"/>
    </row>
    <row r="9" spans="4:24" ht="12.75">
      <c r="D9" t="s">
        <v>2</v>
      </c>
      <c r="G9" s="4"/>
      <c r="I9" s="4">
        <v>85752.57</v>
      </c>
      <c r="J9" s="4"/>
      <c r="K9" s="4">
        <v>6670.99</v>
      </c>
      <c r="L9" s="4"/>
      <c r="M9" s="4">
        <f t="shared" si="0"/>
        <v>79081.58</v>
      </c>
      <c r="O9" s="4">
        <v>40962.13</v>
      </c>
      <c r="Q9" s="4">
        <f t="shared" si="1"/>
        <v>44790.44000000001</v>
      </c>
      <c r="S9" s="4"/>
      <c r="U9" s="65"/>
      <c r="X9" s="4"/>
    </row>
    <row r="10" spans="4:24" ht="12.75">
      <c r="D10" t="s">
        <v>3</v>
      </c>
      <c r="G10" s="4"/>
      <c r="I10" s="4">
        <v>79419.75</v>
      </c>
      <c r="J10" s="4"/>
      <c r="K10" s="4">
        <v>86761.64</v>
      </c>
      <c r="L10" s="4"/>
      <c r="M10" s="4">
        <f t="shared" si="0"/>
        <v>-7341.889999999999</v>
      </c>
      <c r="O10" s="4">
        <v>85839</v>
      </c>
      <c r="Q10" s="4">
        <f t="shared" si="1"/>
        <v>-6419.25</v>
      </c>
      <c r="S10" s="4"/>
      <c r="U10" s="65"/>
      <c r="X10" s="4"/>
    </row>
    <row r="11" spans="4:24" ht="12.75">
      <c r="D11" t="s">
        <v>31</v>
      </c>
      <c r="G11" s="4"/>
      <c r="I11" s="4">
        <f>9752.25+59908</f>
        <v>69660.25</v>
      </c>
      <c r="J11" s="4"/>
      <c r="K11" s="4">
        <f>2959.42+65180</f>
        <v>68139.42</v>
      </c>
      <c r="L11" s="4"/>
      <c r="M11" s="4">
        <f t="shared" si="0"/>
        <v>1520.8300000000017</v>
      </c>
      <c r="O11" s="4">
        <f>3314.47+57892.98</f>
        <v>61207.450000000004</v>
      </c>
      <c r="Q11" s="4">
        <f t="shared" si="1"/>
        <v>8452.799999999996</v>
      </c>
      <c r="S11" s="4"/>
      <c r="U11" s="65"/>
      <c r="X11" s="4"/>
    </row>
    <row r="12" spans="4:24" ht="12.75">
      <c r="D12" t="s">
        <v>30</v>
      </c>
      <c r="G12" s="4"/>
      <c r="I12" s="4">
        <v>10069.86</v>
      </c>
      <c r="J12" s="4"/>
      <c r="K12" s="4">
        <v>8433.37</v>
      </c>
      <c r="L12" s="4"/>
      <c r="M12" s="4">
        <f t="shared" si="0"/>
        <v>1636.4899999999998</v>
      </c>
      <c r="O12" s="4">
        <v>8329.02</v>
      </c>
      <c r="Q12" s="4">
        <f t="shared" si="1"/>
        <v>1740.8400000000001</v>
      </c>
      <c r="S12" s="4"/>
      <c r="U12" s="65"/>
      <c r="X12" s="4"/>
    </row>
    <row r="13" spans="4:24" ht="12.75">
      <c r="D13" t="s">
        <v>29</v>
      </c>
      <c r="G13" s="4"/>
      <c r="I13" s="4">
        <f>949.6+34000+41931.39</f>
        <v>76880.98999999999</v>
      </c>
      <c r="J13" s="4"/>
      <c r="K13" s="4">
        <f>10000+22846.52</f>
        <v>32846.520000000004</v>
      </c>
      <c r="L13" s="4"/>
      <c r="M13" s="4">
        <f t="shared" si="0"/>
        <v>44034.46999999999</v>
      </c>
      <c r="O13" s="4">
        <v>20000</v>
      </c>
      <c r="Q13" s="4">
        <f t="shared" si="1"/>
        <v>56880.98999999999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1736643.49</v>
      </c>
      <c r="J16" s="5"/>
      <c r="K16" s="5">
        <f>SUM(K8:K14)</f>
        <v>1648410.5599999998</v>
      </c>
      <c r="L16" s="5"/>
      <c r="M16" s="5">
        <f>SUM(M8:M14)</f>
        <v>88232.92999999993</v>
      </c>
      <c r="N16" s="5"/>
      <c r="O16" s="5">
        <f>SUM(O8:O14)</f>
        <v>1678061.9</v>
      </c>
      <c r="Q16" s="5">
        <f>SUM(Q8:Q14)</f>
        <v>58581.58999999978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1736643.49</v>
      </c>
      <c r="J19" s="61"/>
      <c r="K19" s="61">
        <f>K16</f>
        <v>1648410.5599999998</v>
      </c>
      <c r="L19" s="61"/>
      <c r="M19" s="61">
        <f>M16</f>
        <v>88232.92999999993</v>
      </c>
      <c r="O19" s="61">
        <f>O16</f>
        <v>1678061.9</v>
      </c>
      <c r="Q19" s="62">
        <f>SUM(I19-O19)</f>
        <v>58581.590000000084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182799.96</v>
      </c>
      <c r="J23" s="4"/>
      <c r="K23" s="4">
        <v>180639.96</v>
      </c>
      <c r="L23" s="4"/>
      <c r="M23" s="4">
        <f aca="true" t="shared" si="2" ref="M23:M29">SUM(K23-I23)</f>
        <v>-2160</v>
      </c>
      <c r="O23" s="4">
        <v>185168</v>
      </c>
      <c r="Q23" s="4">
        <f aca="true" t="shared" si="3" ref="Q23:Q29">SUM(O23-I23)</f>
        <v>2368.040000000008</v>
      </c>
      <c r="S23" s="4"/>
      <c r="U23" s="65"/>
      <c r="X23" s="4"/>
    </row>
    <row r="24" spans="3:24" ht="12.75">
      <c r="C24" t="s">
        <v>9</v>
      </c>
      <c r="G24" s="4"/>
      <c r="I24" s="4">
        <f>63574.59+436027.69+2415.96+43731.69+64451.48</f>
        <v>610201.41</v>
      </c>
      <c r="J24" s="4"/>
      <c r="K24" s="4">
        <f>67295.2+441596.94+0+41410.08+58666.13</f>
        <v>608968.35</v>
      </c>
      <c r="L24" s="4"/>
      <c r="M24" s="4">
        <f t="shared" si="2"/>
        <v>-1233.0600000000559</v>
      </c>
      <c r="O24" s="4">
        <f>125389+447756+45551.09+57255.27</f>
        <v>675951.36</v>
      </c>
      <c r="Q24" s="4">
        <f t="shared" si="3"/>
        <v>65749.94999999995</v>
      </c>
      <c r="S24" s="4"/>
      <c r="U24" s="65"/>
      <c r="X24" s="4"/>
    </row>
    <row r="25" spans="3:24" ht="12.75">
      <c r="C25" s="3" t="s">
        <v>12</v>
      </c>
      <c r="G25" s="4"/>
      <c r="I25" s="4">
        <v>147365.13</v>
      </c>
      <c r="J25" s="4"/>
      <c r="K25" s="4">
        <v>157338.11</v>
      </c>
      <c r="L25" s="4"/>
      <c r="M25" s="4">
        <f t="shared" si="2"/>
        <v>9972.979999999981</v>
      </c>
      <c r="O25" s="4">
        <v>156077.44</v>
      </c>
      <c r="Q25" s="4">
        <f t="shared" si="3"/>
        <v>8712.309999999998</v>
      </c>
      <c r="S25" s="4"/>
      <c r="U25" s="65"/>
      <c r="X25" s="4"/>
    </row>
    <row r="26" spans="3:24" ht="12.75">
      <c r="C26" t="s">
        <v>33</v>
      </c>
      <c r="G26" s="4"/>
      <c r="I26" s="4">
        <f>33737.89+35145.08+8674.67+20062.19</f>
        <v>97619.83</v>
      </c>
      <c r="J26" s="4" t="s">
        <v>18</v>
      </c>
      <c r="K26" s="4">
        <f>34650.67+32819.09+11577.06+27271.04</f>
        <v>106317.85999999999</v>
      </c>
      <c r="L26" s="4"/>
      <c r="M26" s="4">
        <f t="shared" si="2"/>
        <v>8698.029999999984</v>
      </c>
      <c r="O26" s="4">
        <f>33479.25+36491.12+9806.35+29767.44</f>
        <v>109544.16</v>
      </c>
      <c r="Q26" s="4">
        <f t="shared" si="3"/>
        <v>11924.330000000002</v>
      </c>
      <c r="S26" s="4"/>
      <c r="U26" s="65"/>
      <c r="X26" s="4"/>
    </row>
    <row r="27" spans="3:24" ht="12.75">
      <c r="C27" t="s">
        <v>10</v>
      </c>
      <c r="G27" s="4"/>
      <c r="I27" s="4">
        <v>74300.43</v>
      </c>
      <c r="J27" s="4"/>
      <c r="K27" s="4">
        <v>84108.21</v>
      </c>
      <c r="L27" s="4"/>
      <c r="M27" s="4">
        <f t="shared" si="2"/>
        <v>9807.780000000013</v>
      </c>
      <c r="O27" s="4">
        <v>105047.27</v>
      </c>
      <c r="Q27" s="4">
        <f t="shared" si="3"/>
        <v>30746.84000000001</v>
      </c>
      <c r="S27" s="4"/>
      <c r="U27" s="65"/>
      <c r="X27" s="4"/>
    </row>
    <row r="28" spans="3:24" ht="12.75">
      <c r="C28" t="s">
        <v>11</v>
      </c>
      <c r="G28" s="4"/>
      <c r="I28" s="4">
        <v>17289.1</v>
      </c>
      <c r="J28" s="4"/>
      <c r="K28" s="4">
        <v>14587.87</v>
      </c>
      <c r="L28" s="4"/>
      <c r="M28" s="4">
        <f t="shared" si="2"/>
        <v>-2701.2299999999977</v>
      </c>
      <c r="O28" s="4">
        <v>21976.01</v>
      </c>
      <c r="Q28" s="4">
        <f t="shared" si="3"/>
        <v>4686.91</v>
      </c>
      <c r="S28" s="4"/>
      <c r="U28" s="65"/>
      <c r="X28" s="4"/>
    </row>
    <row r="29" spans="3:24" ht="12.75">
      <c r="C29" s="3" t="s">
        <v>40</v>
      </c>
      <c r="G29" s="4"/>
      <c r="I29" s="4">
        <f>105898.69+24450.98+17523.3</f>
        <v>147872.97</v>
      </c>
      <c r="J29" s="4"/>
      <c r="K29" s="4">
        <f>89629.75+8081.6+5619.62</f>
        <v>103330.97</v>
      </c>
      <c r="L29" s="4"/>
      <c r="M29" s="4">
        <f t="shared" si="2"/>
        <v>-44542</v>
      </c>
      <c r="O29" s="4">
        <v>185511.37</v>
      </c>
      <c r="Q29" s="4">
        <f t="shared" si="3"/>
        <v>37638.399999999994</v>
      </c>
      <c r="S29" s="4"/>
      <c r="U29" s="65"/>
      <c r="X29" s="4"/>
    </row>
    <row r="30" spans="3:24" ht="12.75">
      <c r="C30" s="47" t="s">
        <v>41</v>
      </c>
      <c r="G30" s="4"/>
      <c r="I30" s="4">
        <f>35906.47+12494.94+32249.35</f>
        <v>80650.76000000001</v>
      </c>
      <c r="J30" s="4"/>
      <c r="K30" s="4">
        <f>27986.51+11216.16+23900.91</f>
        <v>63103.58</v>
      </c>
      <c r="L30" s="4"/>
      <c r="M30" s="4">
        <f>SUM(K30-I30)</f>
        <v>-17547.180000000008</v>
      </c>
      <c r="O30" s="4">
        <v>86783.04</v>
      </c>
      <c r="Q30" s="4">
        <f>SUM(O30-I30)</f>
        <v>6132.279999999984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1358099.59</v>
      </c>
      <c r="J34" s="5"/>
      <c r="K34" s="5">
        <f>SUM(K23:K32)</f>
        <v>1318394.91</v>
      </c>
      <c r="L34" s="5"/>
      <c r="M34" s="5">
        <f>SUM(M23:M32)</f>
        <v>-39704.68000000008</v>
      </c>
      <c r="N34" s="4"/>
      <c r="O34" s="5">
        <f>SUM(O23:O32)</f>
        <v>1526058.65</v>
      </c>
      <c r="Q34" s="5">
        <f>SUM(Q23:Q32)</f>
        <v>167959.05999999994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1490099.59</v>
      </c>
      <c r="J41" s="61"/>
      <c r="K41" s="61">
        <f>K34+K39</f>
        <v>1455169.91</v>
      </c>
      <c r="L41" s="61"/>
      <c r="M41" s="61">
        <f>M34+M39</f>
        <v>-34929.68000000008</v>
      </c>
      <c r="O41" s="61">
        <f>O34+O39</f>
        <v>1660058.65</v>
      </c>
      <c r="Q41" s="61">
        <f>Q34+Q39</f>
        <v>169959.05999999994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246543.8999999999</v>
      </c>
      <c r="J43" s="62"/>
      <c r="K43" s="62">
        <f>K19-K41</f>
        <v>193240.6499999999</v>
      </c>
      <c r="L43" s="62"/>
      <c r="M43" s="62">
        <f>SUM(M41+M19)</f>
        <v>53303.249999999854</v>
      </c>
      <c r="O43" s="62">
        <f>O19-O41</f>
        <v>18003.25</v>
      </c>
      <c r="Q43" s="62">
        <f>Q19+Q41</f>
        <v>228540.65000000002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f>228757.89+1777.5</f>
        <v>230535.39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3">
      <selection activeCell="O30" sqref="O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43799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102</v>
      </c>
      <c r="J5" s="23"/>
      <c r="K5" s="23" t="s">
        <v>103</v>
      </c>
      <c r="L5" s="23"/>
      <c r="M5" s="26" t="s">
        <v>27</v>
      </c>
      <c r="O5" s="23" t="s">
        <v>102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441280.63+63857.64+10850</f>
        <v>515988.27</v>
      </c>
      <c r="J8" s="4"/>
      <c r="K8" s="4">
        <f>457584.86+55553.63+8250</f>
        <v>521388.49</v>
      </c>
      <c r="L8" s="4"/>
      <c r="M8" s="4">
        <f aca="true" t="shared" si="0" ref="M8:M14">SUM(I8-K8)</f>
        <v>-5400.219999999972</v>
      </c>
      <c r="O8" s="4">
        <f>462987.68+50853.73+9300.37</f>
        <v>523141.77999999997</v>
      </c>
      <c r="Q8" s="4">
        <f aca="true" t="shared" si="1" ref="Q8:Q14">SUM(I8-O8)</f>
        <v>-7153.509999999951</v>
      </c>
      <c r="S8" s="4"/>
      <c r="U8" s="65"/>
      <c r="X8" s="4"/>
    </row>
    <row r="9" spans="4:24" ht="12.75">
      <c r="D9" t="s">
        <v>2</v>
      </c>
      <c r="G9" s="4"/>
      <c r="I9" s="4">
        <v>11330.13</v>
      </c>
      <c r="J9" s="4"/>
      <c r="K9" s="4">
        <v>34323.71</v>
      </c>
      <c r="L9" s="4"/>
      <c r="M9" s="4">
        <f t="shared" si="0"/>
        <v>-22993.58</v>
      </c>
      <c r="O9" s="4">
        <v>36270.96</v>
      </c>
      <c r="Q9" s="4">
        <f t="shared" si="1"/>
        <v>-24940.83</v>
      </c>
      <c r="S9" s="4"/>
      <c r="U9" s="65"/>
      <c r="X9" s="4"/>
    </row>
    <row r="10" spans="4:24" ht="12.75">
      <c r="D10" t="s">
        <v>3</v>
      </c>
      <c r="G10" s="4"/>
      <c r="I10" s="4">
        <v>60532.15</v>
      </c>
      <c r="J10" s="4"/>
      <c r="K10" s="4">
        <v>63451.79</v>
      </c>
      <c r="L10" s="4"/>
      <c r="M10" s="4">
        <f t="shared" si="0"/>
        <v>-2919.6399999999994</v>
      </c>
      <c r="O10" s="4">
        <v>79738.83</v>
      </c>
      <c r="Q10" s="4">
        <f t="shared" si="1"/>
        <v>-19206.68</v>
      </c>
      <c r="S10" s="4"/>
      <c r="U10" s="65"/>
      <c r="X10" s="4"/>
    </row>
    <row r="11" spans="4:24" ht="12.75">
      <c r="D11" t="s">
        <v>31</v>
      </c>
      <c r="G11" s="4"/>
      <c r="I11" s="4">
        <f>7216.54+23652</f>
        <v>30868.54</v>
      </c>
      <c r="J11" s="4"/>
      <c r="K11" s="4">
        <f>4100.51+23445</f>
        <v>27545.510000000002</v>
      </c>
      <c r="L11" s="4"/>
      <c r="M11" s="4">
        <f t="shared" si="0"/>
        <v>3323.029999999999</v>
      </c>
      <c r="O11" s="4">
        <f>2819.95+23516.95</f>
        <v>26336.9</v>
      </c>
      <c r="Q11" s="4">
        <f t="shared" si="1"/>
        <v>4531.639999999999</v>
      </c>
      <c r="S11" s="4"/>
      <c r="U11" s="65"/>
      <c r="X11" s="4"/>
    </row>
    <row r="12" spans="4:24" ht="12.75">
      <c r="D12" t="s">
        <v>30</v>
      </c>
      <c r="G12" s="4"/>
      <c r="I12" s="4">
        <v>1825.86</v>
      </c>
      <c r="J12" s="4"/>
      <c r="K12" s="4">
        <v>299.5</v>
      </c>
      <c r="L12" s="4"/>
      <c r="M12" s="4">
        <f t="shared" si="0"/>
        <v>1526.36</v>
      </c>
      <c r="O12" s="4">
        <v>111.37</v>
      </c>
      <c r="Q12" s="4">
        <f t="shared" si="1"/>
        <v>1714.4899999999998</v>
      </c>
      <c r="S12" s="4"/>
      <c r="U12" s="65"/>
      <c r="X12" s="4"/>
    </row>
    <row r="13" spans="4:24" ht="12.75">
      <c r="D13" t="s">
        <v>29</v>
      </c>
      <c r="G13" s="4"/>
      <c r="I13" s="4">
        <v>22940.43</v>
      </c>
      <c r="J13" s="4"/>
      <c r="K13" s="4">
        <f>949.6+2733.43</f>
        <v>3683.0299999999997</v>
      </c>
      <c r="L13" s="4"/>
      <c r="M13" s="4">
        <f t="shared" si="0"/>
        <v>19257.4</v>
      </c>
      <c r="O13" s="4">
        <v>9670.05</v>
      </c>
      <c r="Q13" s="4">
        <f t="shared" si="1"/>
        <v>13270.380000000001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643485.3800000001</v>
      </c>
      <c r="J16" s="5"/>
      <c r="K16" s="5">
        <f>SUM(K8:K14)</f>
        <v>650692.03</v>
      </c>
      <c r="L16" s="5"/>
      <c r="M16" s="5">
        <f>SUM(M8:M14)</f>
        <v>-7206.649999999972</v>
      </c>
      <c r="N16" s="5"/>
      <c r="O16" s="5">
        <f>SUM(O8:O14)</f>
        <v>675269.89</v>
      </c>
      <c r="Q16" s="5">
        <f>SUM(Q8:Q14)</f>
        <v>-31784.509999999955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643485.3800000001</v>
      </c>
      <c r="J19" s="61"/>
      <c r="K19" s="61">
        <f>K16</f>
        <v>650692.03</v>
      </c>
      <c r="L19" s="61"/>
      <c r="M19" s="61">
        <f>M16</f>
        <v>-7206.649999999972</v>
      </c>
      <c r="O19" s="61">
        <f>O16</f>
        <v>675269.89</v>
      </c>
      <c r="Q19" s="62">
        <f>SUM(I19-O19)</f>
        <v>-31784.509999999893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76708.15</v>
      </c>
      <c r="J23" s="4"/>
      <c r="K23" s="4">
        <v>76166.65</v>
      </c>
      <c r="L23" s="4"/>
      <c r="M23" s="4">
        <f aca="true" t="shared" si="2" ref="M23:M29">SUM(K23-I23)</f>
        <v>-541.5</v>
      </c>
      <c r="O23" s="4">
        <v>77261.67</v>
      </c>
      <c r="Q23" s="4">
        <f aca="true" t="shared" si="3" ref="Q23:Q29">SUM(O23-I23)</f>
        <v>553.5200000000041</v>
      </c>
      <c r="S23" s="4"/>
      <c r="U23" s="65"/>
      <c r="X23" s="4"/>
    </row>
    <row r="24" spans="3:24" ht="12.75">
      <c r="C24" t="s">
        <v>9</v>
      </c>
      <c r="G24" s="4"/>
      <c r="I24" s="4">
        <f>25186.5+183670.29+1006.65+22979.6+28100.96</f>
        <v>260944</v>
      </c>
      <c r="J24" s="4"/>
      <c r="K24" s="4">
        <f>23796.5+181936.26+1006.65+18221.55+33023.12</f>
        <v>257984.08</v>
      </c>
      <c r="L24" s="4"/>
      <c r="M24" s="4">
        <f t="shared" si="2"/>
        <v>-2959.920000000013</v>
      </c>
      <c r="O24" s="4">
        <f>23295.42+186045.06+1107.31+21274.34+38090.5</f>
        <v>269812.63</v>
      </c>
      <c r="Q24" s="4">
        <f t="shared" si="3"/>
        <v>8868.630000000005</v>
      </c>
      <c r="S24" s="4"/>
      <c r="U24" s="65"/>
      <c r="X24" s="4"/>
    </row>
    <row r="25" spans="3:24" ht="12.75">
      <c r="C25" s="3" t="s">
        <v>12</v>
      </c>
      <c r="G25" s="4"/>
      <c r="I25" s="4">
        <v>63541.89</v>
      </c>
      <c r="J25" s="4"/>
      <c r="K25" s="4">
        <v>60304.09</v>
      </c>
      <c r="L25" s="4"/>
      <c r="M25" s="4">
        <f t="shared" si="2"/>
        <v>-3237.800000000003</v>
      </c>
      <c r="O25" s="4">
        <v>62724.91</v>
      </c>
      <c r="Q25" s="4">
        <f t="shared" si="3"/>
        <v>-816.9799999999959</v>
      </c>
      <c r="S25" s="4"/>
      <c r="U25" s="65"/>
      <c r="X25" s="4"/>
    </row>
    <row r="26" spans="3:24" ht="12.75">
      <c r="C26" t="s">
        <v>33</v>
      </c>
      <c r="G26" s="4"/>
      <c r="I26" s="4">
        <f>10209.34+15148.52+2467.42+8903.64</f>
        <v>36728.92</v>
      </c>
      <c r="J26" s="4" t="s">
        <v>18</v>
      </c>
      <c r="K26" s="4">
        <f>15401.28+15769.59+3137.2+6066.53</f>
        <v>40374.6</v>
      </c>
      <c r="L26" s="4"/>
      <c r="M26" s="4">
        <f t="shared" si="2"/>
        <v>3645.6800000000003</v>
      </c>
      <c r="O26" s="4">
        <f>16139.96+18423.29+3358.74+10079.51</f>
        <v>48001.5</v>
      </c>
      <c r="Q26" s="4">
        <f t="shared" si="3"/>
        <v>11272.580000000002</v>
      </c>
      <c r="S26" s="4"/>
      <c r="U26" s="65"/>
      <c r="X26" s="4"/>
    </row>
    <row r="27" spans="3:24" ht="12.75">
      <c r="C27" t="s">
        <v>10</v>
      </c>
      <c r="G27" s="4"/>
      <c r="I27" s="4">
        <v>31658.78</v>
      </c>
      <c r="J27" s="4"/>
      <c r="K27" s="4">
        <v>38506.11</v>
      </c>
      <c r="L27" s="4"/>
      <c r="M27" s="4">
        <f t="shared" si="2"/>
        <v>6847.330000000002</v>
      </c>
      <c r="O27" s="4">
        <v>51577.97</v>
      </c>
      <c r="Q27" s="4">
        <f t="shared" si="3"/>
        <v>19919.190000000002</v>
      </c>
      <c r="S27" s="4"/>
      <c r="U27" s="65"/>
      <c r="X27" s="4"/>
    </row>
    <row r="28" spans="3:24" ht="12.75">
      <c r="C28" t="s">
        <v>11</v>
      </c>
      <c r="G28" s="4"/>
      <c r="I28" s="4">
        <v>5614.43</v>
      </c>
      <c r="J28" s="4"/>
      <c r="K28" s="4">
        <v>7901.97</v>
      </c>
      <c r="L28" s="4"/>
      <c r="M28" s="4">
        <f t="shared" si="2"/>
        <v>2287.54</v>
      </c>
      <c r="O28" s="4">
        <v>5961.55</v>
      </c>
      <c r="Q28" s="4">
        <f t="shared" si="3"/>
        <v>347.1199999999999</v>
      </c>
      <c r="S28" s="4"/>
      <c r="U28" s="65"/>
      <c r="X28" s="4"/>
    </row>
    <row r="29" spans="3:24" ht="12.75">
      <c r="C29" s="3" t="s">
        <v>40</v>
      </c>
      <c r="G29" s="4"/>
      <c r="I29" s="4">
        <f>37645.52+861.36+10337.8</f>
        <v>48844.67999999999</v>
      </c>
      <c r="J29" s="4"/>
      <c r="K29" s="4">
        <f>38338.52+21761.72+4828.59</f>
        <v>64928.83</v>
      </c>
      <c r="L29" s="4"/>
      <c r="M29" s="4">
        <f t="shared" si="2"/>
        <v>16084.150000000009</v>
      </c>
      <c r="O29" s="4">
        <f>53686.77+10567.87+10946.44</f>
        <v>75201.08</v>
      </c>
      <c r="Q29" s="4">
        <f t="shared" si="3"/>
        <v>26356.40000000001</v>
      </c>
      <c r="S29" s="4"/>
      <c r="U29" s="65"/>
      <c r="X29" s="4"/>
    </row>
    <row r="30" spans="3:24" ht="12.75">
      <c r="C30" s="47" t="s">
        <v>41</v>
      </c>
      <c r="G30" s="4"/>
      <c r="I30" s="4">
        <f>14347.68+5189.74+12516.7</f>
        <v>32054.12</v>
      </c>
      <c r="J30" s="4"/>
      <c r="K30" s="4">
        <f>13073.49+4893.26+10977.2</f>
        <v>28943.95</v>
      </c>
      <c r="L30" s="4"/>
      <c r="M30" s="4">
        <f>SUM(K30-I30)</f>
        <v>-3110.1699999999983</v>
      </c>
      <c r="O30" s="4">
        <f>14995.97+5107.43+13376.26</f>
        <v>33479.66</v>
      </c>
      <c r="Q30" s="4">
        <f>SUM(O30-I30)</f>
        <v>1425.5400000000045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556094.97</v>
      </c>
      <c r="J34" s="5"/>
      <c r="K34" s="5">
        <f>SUM(K23:K32)</f>
        <v>575110.2799999998</v>
      </c>
      <c r="L34" s="5"/>
      <c r="M34" s="5">
        <f>SUM(M23:M32)</f>
        <v>19015.309999999998</v>
      </c>
      <c r="N34" s="4"/>
      <c r="O34" s="5">
        <f>SUM(O23:O32)</f>
        <v>624020.97</v>
      </c>
      <c r="Q34" s="5">
        <f>SUM(Q23:Q32)</f>
        <v>67926.00000000003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62000</v>
      </c>
      <c r="J37" s="4"/>
      <c r="K37" s="4">
        <v>66000</v>
      </c>
      <c r="L37" s="4"/>
      <c r="M37" s="4">
        <f>SUM(K37-I37)</f>
        <v>4000</v>
      </c>
      <c r="O37" s="4">
        <v>67500</v>
      </c>
      <c r="Q37" s="4">
        <f>SUM(O37-I37)</f>
        <v>5500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62000</v>
      </c>
      <c r="J39" s="10"/>
      <c r="K39" s="10">
        <f>SUM(K37:K37)</f>
        <v>66000</v>
      </c>
      <c r="L39" s="10"/>
      <c r="M39" s="4">
        <f>SUM(K39-I39)</f>
        <v>4000</v>
      </c>
      <c r="N39" s="10"/>
      <c r="O39" s="10">
        <f>SUM(O37:O37)</f>
        <v>67500</v>
      </c>
      <c r="Q39" s="4">
        <f>SUM(O39-I39)</f>
        <v>5500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618094.97</v>
      </c>
      <c r="J41" s="61"/>
      <c r="K41" s="61">
        <f>K34+K39</f>
        <v>641110.2799999998</v>
      </c>
      <c r="L41" s="61"/>
      <c r="M41" s="61">
        <f>M34+M39</f>
        <v>23015.309999999998</v>
      </c>
      <c r="O41" s="61">
        <f>O34+O39</f>
        <v>691520.97</v>
      </c>
      <c r="Q41" s="61">
        <f>Q34+Q39</f>
        <v>73426.00000000003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25390.41000000015</v>
      </c>
      <c r="J43" s="62"/>
      <c r="K43" s="62">
        <f>K19-K41</f>
        <v>9581.750000000233</v>
      </c>
      <c r="L43" s="62"/>
      <c r="M43" s="62">
        <f>SUM(M41+M19)</f>
        <v>15808.660000000025</v>
      </c>
      <c r="O43" s="62">
        <f>O19-O41</f>
        <v>-16251.079999999958</v>
      </c>
      <c r="Q43" s="62">
        <f>Q19+Q41</f>
        <v>41641.490000000136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4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43951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104</v>
      </c>
      <c r="J5" s="23"/>
      <c r="K5" s="23" t="s">
        <v>78</v>
      </c>
      <c r="L5" s="23"/>
      <c r="M5" s="26" t="s">
        <v>27</v>
      </c>
      <c r="O5" s="23" t="s">
        <v>104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879274.21+236479.59+17850</f>
        <v>1133603.8</v>
      </c>
      <c r="J8" s="4"/>
      <c r="K8" s="4">
        <f>909307.56+244631.89+18300</f>
        <v>1172239.4500000002</v>
      </c>
      <c r="L8" s="4"/>
      <c r="M8" s="4">
        <f aca="true" t="shared" si="0" ref="M8:M14">SUM(I8-K8)</f>
        <v>-38635.65000000014</v>
      </c>
      <c r="O8" s="4">
        <f>919231.02+234818.71+20558.2</f>
        <v>1174607.93</v>
      </c>
      <c r="Q8" s="4">
        <f aca="true" t="shared" si="1" ref="Q8:Q14">SUM(I8-O8)</f>
        <v>-41004.12999999989</v>
      </c>
      <c r="S8" s="4"/>
      <c r="U8" s="65"/>
      <c r="X8" s="4"/>
    </row>
    <row r="9" spans="4:24" ht="12.75">
      <c r="D9" t="s">
        <v>2</v>
      </c>
      <c r="G9" s="4"/>
      <c r="I9" s="4">
        <v>21523.58</v>
      </c>
      <c r="J9" s="4"/>
      <c r="K9" s="4">
        <v>58476.8</v>
      </c>
      <c r="L9" s="4"/>
      <c r="M9" s="4">
        <f t="shared" si="0"/>
        <v>-36953.22</v>
      </c>
      <c r="O9" s="4">
        <v>34295.75</v>
      </c>
      <c r="Q9" s="4">
        <f t="shared" si="1"/>
        <v>-12772.169999999998</v>
      </c>
      <c r="S9" s="4"/>
      <c r="U9" s="65"/>
      <c r="X9" s="4"/>
    </row>
    <row r="10" spans="4:24" ht="12.75">
      <c r="D10" t="s">
        <v>3</v>
      </c>
      <c r="G10" s="4"/>
      <c r="I10" s="4">
        <v>72683.65</v>
      </c>
      <c r="J10" s="4"/>
      <c r="K10" s="4">
        <v>76455.75</v>
      </c>
      <c r="L10" s="4"/>
      <c r="M10" s="4">
        <f t="shared" si="0"/>
        <v>-3772.100000000006</v>
      </c>
      <c r="O10" s="4">
        <v>101999.59</v>
      </c>
      <c r="Q10" s="4">
        <f t="shared" si="1"/>
        <v>-29315.940000000002</v>
      </c>
      <c r="S10" s="4"/>
      <c r="U10" s="65"/>
      <c r="X10" s="4"/>
    </row>
    <row r="11" spans="4:24" ht="12.75">
      <c r="D11" t="s">
        <v>31</v>
      </c>
      <c r="G11" s="4"/>
      <c r="I11" s="4">
        <f>14334.87+42883</f>
        <v>57217.87</v>
      </c>
      <c r="J11" s="4"/>
      <c r="K11" s="4">
        <f>8666.85+49108</f>
        <v>57774.85</v>
      </c>
      <c r="L11" s="4"/>
      <c r="M11" s="4">
        <f t="shared" si="0"/>
        <v>-556.9799999999959</v>
      </c>
      <c r="O11" s="4">
        <f>5960.26+47627.12</f>
        <v>53587.380000000005</v>
      </c>
      <c r="Q11" s="4">
        <f t="shared" si="1"/>
        <v>3630.489999999998</v>
      </c>
      <c r="S11" s="4"/>
      <c r="U11" s="65"/>
      <c r="X11" s="4"/>
    </row>
    <row r="12" spans="4:24" ht="12.75">
      <c r="D12" t="s">
        <v>30</v>
      </c>
      <c r="G12" s="4"/>
      <c r="I12" s="4">
        <v>3831.01</v>
      </c>
      <c r="J12" s="4"/>
      <c r="K12" s="4">
        <v>9283.91</v>
      </c>
      <c r="L12" s="4"/>
      <c r="M12" s="4">
        <f t="shared" si="0"/>
        <v>-5452.9</v>
      </c>
      <c r="O12" s="4">
        <v>8388.19</v>
      </c>
      <c r="Q12" s="4">
        <f t="shared" si="1"/>
        <v>-4557.18</v>
      </c>
      <c r="S12" s="4"/>
      <c r="U12" s="65"/>
      <c r="X12" s="4"/>
    </row>
    <row r="13" spans="4:24" ht="12.75">
      <c r="D13" t="s">
        <v>29</v>
      </c>
      <c r="G13" s="4"/>
      <c r="I13" s="4">
        <v>33971.48</v>
      </c>
      <c r="J13" s="4"/>
      <c r="K13" s="4">
        <f>949.6+34751.04</f>
        <v>35700.64</v>
      </c>
      <c r="L13" s="4"/>
      <c r="M13" s="4">
        <f t="shared" si="0"/>
        <v>-1729.1599999999962</v>
      </c>
      <c r="O13" s="4">
        <f>17248.71+29006.55</f>
        <v>46255.259999999995</v>
      </c>
      <c r="Q13" s="4">
        <f t="shared" si="1"/>
        <v>-12283.779999999992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1322831.3900000001</v>
      </c>
      <c r="J16" s="5"/>
      <c r="K16" s="5">
        <f>SUM(K8:K14)</f>
        <v>1409931.4000000001</v>
      </c>
      <c r="L16" s="5"/>
      <c r="M16" s="5">
        <f>SUM(M8:M14)</f>
        <v>-87100.01000000013</v>
      </c>
      <c r="N16" s="5"/>
      <c r="O16" s="5">
        <f>SUM(O8:O14)</f>
        <v>1419134.0999999999</v>
      </c>
      <c r="Q16" s="5">
        <f>SUM(Q8:Q14)</f>
        <v>-96302.70999999988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1322831.3900000001</v>
      </c>
      <c r="J19" s="61"/>
      <c r="K19" s="61">
        <f>K16</f>
        <v>1409931.4000000001</v>
      </c>
      <c r="L19" s="61"/>
      <c r="M19" s="61">
        <f>M16</f>
        <v>-87100.01000000013</v>
      </c>
      <c r="O19" s="61">
        <f>O16</f>
        <v>1419134.0999999999</v>
      </c>
      <c r="Q19" s="62">
        <f>SUM(I19-O19)</f>
        <v>-96302.70999999973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153416.3</v>
      </c>
      <c r="J23" s="4"/>
      <c r="K23" s="4">
        <v>152333.3</v>
      </c>
      <c r="L23" s="4"/>
      <c r="M23" s="4">
        <f aca="true" t="shared" si="2" ref="M23:M29">SUM(K23-I23)</f>
        <v>-1083</v>
      </c>
      <c r="O23" s="4">
        <v>154523.33</v>
      </c>
      <c r="Q23" s="4">
        <f aca="true" t="shared" si="3" ref="Q23:Q29">SUM(O23-I23)</f>
        <v>1107.0299999999988</v>
      </c>
      <c r="S23" s="4"/>
      <c r="U23" s="65"/>
      <c r="X23" s="4"/>
    </row>
    <row r="24" spans="3:24" ht="12.75">
      <c r="C24" t="s">
        <v>9</v>
      </c>
      <c r="G24" s="4"/>
      <c r="I24" s="4">
        <f>52424.66+383301.39+2013.3+45959.2+57514.32</f>
        <v>541212.87</v>
      </c>
      <c r="J24" s="4"/>
      <c r="K24" s="4">
        <f>55355.67+369616.03+2013.3+36443.1+61331.14</f>
        <v>524759.24</v>
      </c>
      <c r="L24" s="4"/>
      <c r="M24" s="4">
        <f t="shared" si="2"/>
        <v>-16453.630000000005</v>
      </c>
      <c r="O24" s="4">
        <f>54237.34+377890.98+2214.63+42548.69+66356.35</f>
        <v>543247.99</v>
      </c>
      <c r="Q24" s="4">
        <f t="shared" si="3"/>
        <v>2035.1199999999953</v>
      </c>
      <c r="S24" s="4"/>
      <c r="U24" s="65"/>
      <c r="X24" s="4"/>
    </row>
    <row r="25" spans="3:24" ht="12.75">
      <c r="C25" s="3" t="s">
        <v>12</v>
      </c>
      <c r="G25" s="4"/>
      <c r="I25" s="4">
        <v>124068.96</v>
      </c>
      <c r="J25" s="4"/>
      <c r="K25" s="4">
        <v>122726.86</v>
      </c>
      <c r="L25" s="4"/>
      <c r="M25" s="4">
        <f t="shared" si="2"/>
        <v>-1342.1000000000058</v>
      </c>
      <c r="O25" s="4">
        <v>127543.6</v>
      </c>
      <c r="Q25" s="4">
        <f t="shared" si="3"/>
        <v>3474.6399999999994</v>
      </c>
      <c r="S25" s="4"/>
      <c r="U25" s="65"/>
      <c r="X25" s="4"/>
    </row>
    <row r="26" spans="3:24" ht="12.75">
      <c r="C26" t="s">
        <v>33</v>
      </c>
      <c r="G26" s="4"/>
      <c r="I26" s="4">
        <f>39010.48+28282.06+5788.21+19914.06</f>
        <v>92994.81000000001</v>
      </c>
      <c r="J26" s="4" t="s">
        <v>18</v>
      </c>
      <c r="K26" s="4">
        <f>29724.76+28752.86+6616.76+16111.02</f>
        <v>81205.4</v>
      </c>
      <c r="L26" s="4"/>
      <c r="M26" s="4">
        <f t="shared" si="2"/>
        <v>-11789.410000000018</v>
      </c>
      <c r="O26" s="4">
        <f>32186.77+31622.4+6913.79+23341.49</f>
        <v>94064.45</v>
      </c>
      <c r="Q26" s="4">
        <f t="shared" si="3"/>
        <v>1069.6399999999849</v>
      </c>
      <c r="S26" s="4"/>
      <c r="U26" s="65"/>
      <c r="X26" s="4"/>
    </row>
    <row r="27" spans="3:24" ht="12.75">
      <c r="C27" t="s">
        <v>10</v>
      </c>
      <c r="G27" s="4"/>
      <c r="I27" s="4">
        <v>58011.66</v>
      </c>
      <c r="J27" s="4"/>
      <c r="K27" s="4">
        <v>61296.07</v>
      </c>
      <c r="L27" s="4"/>
      <c r="M27" s="4">
        <f t="shared" si="2"/>
        <v>3284.409999999996</v>
      </c>
      <c r="O27" s="4">
        <v>90264.9</v>
      </c>
      <c r="Q27" s="4">
        <f t="shared" si="3"/>
        <v>32253.23999999999</v>
      </c>
      <c r="S27" s="4"/>
      <c r="U27" s="65"/>
      <c r="X27" s="4"/>
    </row>
    <row r="28" spans="3:24" ht="12.75">
      <c r="C28" t="s">
        <v>11</v>
      </c>
      <c r="G28" s="4"/>
      <c r="I28" s="4">
        <v>10837.99</v>
      </c>
      <c r="J28" s="4"/>
      <c r="K28" s="4">
        <v>15288.85</v>
      </c>
      <c r="L28" s="4"/>
      <c r="M28" s="4">
        <f t="shared" si="2"/>
        <v>4450.860000000001</v>
      </c>
      <c r="O28" s="4">
        <v>13812.34</v>
      </c>
      <c r="Q28" s="4">
        <f t="shared" si="3"/>
        <v>2974.3500000000004</v>
      </c>
      <c r="S28" s="4"/>
      <c r="U28" s="65"/>
      <c r="X28" s="4"/>
    </row>
    <row r="29" spans="3:24" ht="12.75">
      <c r="C29" s="3" t="s">
        <v>40</v>
      </c>
      <c r="G29" s="4"/>
      <c r="I29" s="4">
        <f>61880.11+3694.9+13962.47</f>
        <v>79537.48</v>
      </c>
      <c r="J29" s="4"/>
      <c r="K29" s="4">
        <f>82856.34+22897.49+15834.68</f>
        <v>121588.51000000001</v>
      </c>
      <c r="L29" s="4"/>
      <c r="M29" s="4">
        <f t="shared" si="2"/>
        <v>42051.03000000001</v>
      </c>
      <c r="O29" s="4">
        <f>118520.41+11261.99+26056.24</f>
        <v>155838.64</v>
      </c>
      <c r="Q29" s="4">
        <f t="shared" si="3"/>
        <v>76301.16000000002</v>
      </c>
      <c r="S29" s="4"/>
      <c r="U29" s="65"/>
      <c r="X29" s="4"/>
    </row>
    <row r="30" spans="3:24" ht="12.75">
      <c r="C30" s="47" t="s">
        <v>41</v>
      </c>
      <c r="G30" s="4"/>
      <c r="I30" s="4">
        <f>29859.47+11048.86+25432.52</f>
        <v>66340.85</v>
      </c>
      <c r="J30" s="4"/>
      <c r="K30" s="4">
        <f>32326.29+11140.05+28931.58</f>
        <v>72397.92</v>
      </c>
      <c r="L30" s="4"/>
      <c r="M30" s="4">
        <f>SUM(K30-I30)</f>
        <v>6057.069999999992</v>
      </c>
      <c r="O30" s="4">
        <f>37375.91+11409.91+35772.71</f>
        <v>84558.53</v>
      </c>
      <c r="Q30" s="4">
        <f>SUM(O30-I30)</f>
        <v>18217.679999999993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25047</v>
      </c>
      <c r="J32" s="39"/>
      <c r="K32" s="39">
        <v>0</v>
      </c>
      <c r="L32" s="39"/>
      <c r="M32" s="4">
        <f>SUM(K32-I32)</f>
        <v>-25047</v>
      </c>
      <c r="N32" s="42"/>
      <c r="O32" s="39">
        <v>0</v>
      </c>
      <c r="P32" s="42"/>
      <c r="Q32" s="4">
        <f>SUM(O32-I32)</f>
        <v>-25047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1151467.9200000002</v>
      </c>
      <c r="J34" s="5"/>
      <c r="K34" s="5">
        <f>SUM(K23:K32)</f>
        <v>1151596.15</v>
      </c>
      <c r="L34" s="5"/>
      <c r="M34" s="5">
        <f>SUM(M23:M32)</f>
        <v>128.2299999999741</v>
      </c>
      <c r="N34" s="4"/>
      <c r="O34" s="5">
        <f>SUM(O23:O32)</f>
        <v>1263853.78</v>
      </c>
      <c r="Q34" s="5">
        <f>SUM(Q23:Q32)</f>
        <v>112385.85999999999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124000</v>
      </c>
      <c r="J37" s="4"/>
      <c r="K37" s="4">
        <v>132000</v>
      </c>
      <c r="L37" s="4"/>
      <c r="M37" s="4">
        <f>SUM(K37-I37)</f>
        <v>8000</v>
      </c>
      <c r="O37" s="4">
        <v>135000</v>
      </c>
      <c r="Q37" s="4">
        <f>SUM(O37-I37)</f>
        <v>11000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124000</v>
      </c>
      <c r="J39" s="10"/>
      <c r="K39" s="10">
        <f>SUM(K37:K37)</f>
        <v>132000</v>
      </c>
      <c r="L39" s="10"/>
      <c r="M39" s="4">
        <f>SUM(K39-I39)</f>
        <v>8000</v>
      </c>
      <c r="N39" s="10"/>
      <c r="O39" s="10">
        <f>SUM(O37:O37)</f>
        <v>135000</v>
      </c>
      <c r="Q39" s="4">
        <f>SUM(O39-I39)</f>
        <v>11000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1275467.9200000002</v>
      </c>
      <c r="J41" s="61"/>
      <c r="K41" s="61">
        <f>K34+K39</f>
        <v>1283596.15</v>
      </c>
      <c r="L41" s="61"/>
      <c r="M41" s="61">
        <f>M34+M39</f>
        <v>8128.229999999974</v>
      </c>
      <c r="O41" s="61">
        <f>O34+O39</f>
        <v>1398853.78</v>
      </c>
      <c r="Q41" s="61">
        <f>Q34+Q39</f>
        <v>123385.85999999999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47363.46999999997</v>
      </c>
      <c r="J43" s="62"/>
      <c r="K43" s="62">
        <f>K19-K41</f>
        <v>126335.25000000023</v>
      </c>
      <c r="L43" s="62"/>
      <c r="M43" s="62">
        <f>SUM(M41+M19)</f>
        <v>-78971.78000000014</v>
      </c>
      <c r="O43" s="62">
        <f>O19-O41</f>
        <v>20280.319999999832</v>
      </c>
      <c r="Q43" s="62">
        <f>Q19+Q41</f>
        <v>27083.150000000256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="90" zoomScaleNormal="90"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41955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42</v>
      </c>
      <c r="J5" s="23"/>
      <c r="K5" s="23" t="s">
        <v>43</v>
      </c>
      <c r="L5" s="23"/>
      <c r="M5" s="26" t="s">
        <v>27</v>
      </c>
      <c r="O5" s="23" t="s">
        <v>42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363677.44+42067.67+3850</f>
        <v>409595.11</v>
      </c>
      <c r="J8" s="4"/>
      <c r="K8" s="4">
        <f>353212.09+45908.05+3500</f>
        <v>402620.14</v>
      </c>
      <c r="L8" s="4"/>
      <c r="M8" s="4">
        <f aca="true" t="shared" si="0" ref="M8:M14">SUM(I8-K8)</f>
        <v>6974.969999999972</v>
      </c>
      <c r="O8" s="4">
        <f>351025.05+40899.04+3459.99</f>
        <v>395384.07999999996</v>
      </c>
      <c r="Q8" s="4">
        <f aca="true" t="shared" si="1" ref="Q8:Q14">SUM(I8-O8)</f>
        <v>14211.030000000028</v>
      </c>
      <c r="S8" s="4"/>
      <c r="X8" s="4"/>
    </row>
    <row r="9" spans="4:24" ht="12.75">
      <c r="D9" t="s">
        <v>2</v>
      </c>
      <c r="G9" s="4"/>
      <c r="I9" s="4">
        <f>162439.98-138343.66</f>
        <v>24096.320000000007</v>
      </c>
      <c r="J9" s="4"/>
      <c r="K9" s="4">
        <f>161518.16-161389.85</f>
        <v>128.30999999999767</v>
      </c>
      <c r="L9" s="4"/>
      <c r="M9" s="4">
        <f t="shared" si="0"/>
        <v>23968.01000000001</v>
      </c>
      <c r="O9" s="4">
        <f>161716.06-161232.56</f>
        <v>483.5</v>
      </c>
      <c r="Q9" s="4">
        <f t="shared" si="1"/>
        <v>23612.820000000007</v>
      </c>
      <c r="S9" s="4"/>
      <c r="X9" s="4"/>
    </row>
    <row r="10" spans="4:24" ht="12.75">
      <c r="D10" t="s">
        <v>3</v>
      </c>
      <c r="G10" s="4"/>
      <c r="I10" s="4">
        <v>47130.81</v>
      </c>
      <c r="J10" s="4"/>
      <c r="K10" s="4">
        <f>44953.2</f>
        <v>44953.2</v>
      </c>
      <c r="L10" s="4"/>
      <c r="M10" s="4">
        <f t="shared" si="0"/>
        <v>2177.6100000000006</v>
      </c>
      <c r="O10" s="4">
        <f>16378.53</f>
        <v>16378.53</v>
      </c>
      <c r="Q10" s="4">
        <f t="shared" si="1"/>
        <v>30752.28</v>
      </c>
      <c r="S10" s="4"/>
      <c r="X10" s="4"/>
    </row>
    <row r="11" spans="4:24" ht="12.75">
      <c r="D11" t="s">
        <v>31</v>
      </c>
      <c r="G11" s="4"/>
      <c r="I11" s="4">
        <f>10198.46</f>
        <v>10198.46</v>
      </c>
      <c r="J11" s="4"/>
      <c r="K11" s="4">
        <f>8807.19</f>
        <v>8807.19</v>
      </c>
      <c r="L11" s="4"/>
      <c r="M11" s="4">
        <f t="shared" si="0"/>
        <v>1391.2699999999986</v>
      </c>
      <c r="O11" s="4">
        <f>9067.64</f>
        <v>9067.64</v>
      </c>
      <c r="Q11" s="4">
        <f t="shared" si="1"/>
        <v>1130.8199999999997</v>
      </c>
      <c r="S11" s="4"/>
      <c r="X11" s="4"/>
    </row>
    <row r="12" spans="4:24" ht="12.75">
      <c r="D12" t="s">
        <v>30</v>
      </c>
      <c r="G12" s="4"/>
      <c r="I12" s="4">
        <v>6038.77</v>
      </c>
      <c r="J12" s="4"/>
      <c r="K12" s="4">
        <f>6045.51</f>
        <v>6045.51</v>
      </c>
      <c r="L12" s="4"/>
      <c r="M12" s="4">
        <f t="shared" si="0"/>
        <v>-6.739999999999782</v>
      </c>
      <c r="O12" s="4">
        <f>6052.96</f>
        <v>6052.96</v>
      </c>
      <c r="Q12" s="4">
        <f t="shared" si="1"/>
        <v>-14.1899999999996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497059.47000000003</v>
      </c>
      <c r="J16" s="5"/>
      <c r="K16" s="5">
        <f>SUM(K8:K14)</f>
        <v>462554.35000000003</v>
      </c>
      <c r="L16" s="5"/>
      <c r="M16" s="5">
        <f>SUM(M8:M14)</f>
        <v>34505.11999999998</v>
      </c>
      <c r="N16" s="5"/>
      <c r="O16" s="5">
        <f>SUM(O8:O14)</f>
        <v>427366.71</v>
      </c>
      <c r="Q16" s="5">
        <f>SUM(Q8:Q14)</f>
        <v>69692.76000000004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497059.47000000003</v>
      </c>
      <c r="J19" s="19"/>
      <c r="K19" s="19">
        <f>K16</f>
        <v>462554.35000000003</v>
      </c>
      <c r="L19" s="19"/>
      <c r="M19" s="19">
        <f>M16</f>
        <v>34505.11999999998</v>
      </c>
      <c r="N19" s="17"/>
      <c r="O19" s="19">
        <f>O16</f>
        <v>427366.71</v>
      </c>
      <c r="P19" s="17"/>
      <c r="Q19" s="33">
        <f>SUM(I19-O19)</f>
        <v>69692.76000000001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50500</v>
      </c>
      <c r="J23" s="4"/>
      <c r="K23" s="4">
        <f>47133.32</f>
        <v>47133.32</v>
      </c>
      <c r="L23" s="4"/>
      <c r="M23" s="4">
        <f aca="true" t="shared" si="2" ref="M23:M29">SUM(K23-I23)</f>
        <v>-3366.6800000000003</v>
      </c>
      <c r="O23" s="4">
        <f>50487.67</f>
        <v>50487.67</v>
      </c>
      <c r="Q23" s="4">
        <f aca="true" t="shared" si="3" ref="Q23:Q29">SUM(O23-I23)</f>
        <v>-12.330000000001746</v>
      </c>
      <c r="S23" s="4"/>
      <c r="X23" s="4"/>
    </row>
    <row r="24" spans="3:24" ht="12.75">
      <c r="C24" t="s">
        <v>9</v>
      </c>
      <c r="G24" s="4"/>
      <c r="I24" s="4">
        <f>135120.21+19635.15+17194.48</f>
        <v>171949.84</v>
      </c>
      <c r="J24" s="4"/>
      <c r="K24" s="4">
        <f>18051.85+132701.05+15837.25+12539.92</f>
        <v>179130.07</v>
      </c>
      <c r="L24" s="4"/>
      <c r="M24" s="4">
        <f t="shared" si="2"/>
        <v>7180.2300000000105</v>
      </c>
      <c r="O24" s="4">
        <f>19238.76+132720.9+13167+16596.73</f>
        <v>181723.39</v>
      </c>
      <c r="Q24" s="4">
        <f t="shared" si="3"/>
        <v>9773.550000000017</v>
      </c>
      <c r="S24" s="4"/>
      <c r="X24" s="4"/>
    </row>
    <row r="25" spans="3:24" ht="12.75">
      <c r="C25" s="3" t="s">
        <v>12</v>
      </c>
      <c r="G25" s="4"/>
      <c r="I25" s="4">
        <f>40670.7</f>
        <v>40670.7</v>
      </c>
      <c r="J25" s="4"/>
      <c r="K25" s="4">
        <f>32746.98</f>
        <v>32746.98</v>
      </c>
      <c r="L25" s="4"/>
      <c r="M25" s="4">
        <f t="shared" si="2"/>
        <v>-7923.7199999999975</v>
      </c>
      <c r="O25" s="4">
        <f>34944.62</f>
        <v>34944.62</v>
      </c>
      <c r="Q25" s="4">
        <f t="shared" si="3"/>
        <v>-5726.0799999999945</v>
      </c>
      <c r="S25" s="4"/>
      <c r="X25" s="4"/>
    </row>
    <row r="26" spans="3:24" ht="12.75">
      <c r="C26" t="s">
        <v>33</v>
      </c>
      <c r="G26" s="4"/>
      <c r="I26" s="4">
        <f>4729.56+5410.51+2718.62+10055.47</f>
        <v>22914.159999999996</v>
      </c>
      <c r="J26" s="4"/>
      <c r="K26" s="4">
        <f>4909.22+5409.27+3747.66+10446</f>
        <v>24512.15</v>
      </c>
      <c r="L26" s="4"/>
      <c r="M26" s="4">
        <f t="shared" si="2"/>
        <v>1597.9900000000052</v>
      </c>
      <c r="O26" s="4">
        <f>3144.6+5239.95+3986.86+11336.4</f>
        <v>23707.809999999998</v>
      </c>
      <c r="Q26" s="4">
        <f t="shared" si="3"/>
        <v>793.6500000000015</v>
      </c>
      <c r="S26" s="4"/>
      <c r="X26" s="4"/>
    </row>
    <row r="27" spans="3:24" ht="12.75">
      <c r="C27" t="s">
        <v>10</v>
      </c>
      <c r="G27" s="4"/>
      <c r="I27" s="4">
        <f>43658.84</f>
        <v>43658.84</v>
      </c>
      <c r="J27" s="4"/>
      <c r="K27" s="4">
        <f>31487.9</f>
        <v>31487.9</v>
      </c>
      <c r="L27" s="4"/>
      <c r="M27" s="4">
        <f t="shared" si="2"/>
        <v>-12170.939999999995</v>
      </c>
      <c r="O27" s="4">
        <f>34288.05</f>
        <v>34288.05</v>
      </c>
      <c r="Q27" s="4">
        <f t="shared" si="3"/>
        <v>-9370.789999999994</v>
      </c>
      <c r="S27" s="4"/>
      <c r="X27" s="4"/>
    </row>
    <row r="28" spans="3:24" ht="12.75">
      <c r="C28" t="s">
        <v>11</v>
      </c>
      <c r="G28" s="4"/>
      <c r="I28" s="4">
        <f>6792.62</f>
        <v>6792.62</v>
      </c>
      <c r="J28" s="4"/>
      <c r="K28" s="4">
        <f>5280.77</f>
        <v>5280.77</v>
      </c>
      <c r="L28" s="4"/>
      <c r="M28" s="4">
        <f t="shared" si="2"/>
        <v>-1511.8499999999995</v>
      </c>
      <c r="O28" s="4">
        <f>3558.09</f>
        <v>3558.09</v>
      </c>
      <c r="Q28" s="4">
        <f t="shared" si="3"/>
        <v>-3234.5299999999997</v>
      </c>
      <c r="S28" s="4"/>
      <c r="X28" s="4"/>
    </row>
    <row r="29" spans="3:24" ht="12.75">
      <c r="C29" s="3" t="s">
        <v>40</v>
      </c>
      <c r="G29" s="4"/>
      <c r="I29" s="4">
        <f>40862.91+12439.6</f>
        <v>53302.51</v>
      </c>
      <c r="J29" s="4"/>
      <c r="K29" s="4">
        <f>28905.54+10255.9</f>
        <v>39161.44</v>
      </c>
      <c r="L29" s="4"/>
      <c r="M29" s="4">
        <f t="shared" si="2"/>
        <v>-14141.07</v>
      </c>
      <c r="O29" s="4">
        <f>40647.49+13916.84</f>
        <v>54564.33</v>
      </c>
      <c r="Q29" s="4">
        <f t="shared" si="3"/>
        <v>1261.8199999999997</v>
      </c>
      <c r="S29" s="4"/>
      <c r="X29" s="4"/>
    </row>
    <row r="30" spans="3:24" ht="12.75">
      <c r="C30" s="47" t="s">
        <v>41</v>
      </c>
      <c r="G30" s="4"/>
      <c r="I30" s="4">
        <f>44497.48</f>
        <v>44497.48</v>
      </c>
      <c r="J30" s="4"/>
      <c r="K30" s="4">
        <f>46246.06</f>
        <v>46246.06</v>
      </c>
      <c r="L30" s="4"/>
      <c r="M30" s="4">
        <f>SUM(K30-I30)</f>
        <v>1748.5799999999945</v>
      </c>
      <c r="O30" s="4">
        <f>49446.05</f>
        <v>49446.05</v>
      </c>
      <c r="Q30" s="4">
        <f>SUM(O30-I30)</f>
        <v>4948.57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6439.2+11800</f>
        <v>18239.2</v>
      </c>
      <c r="L32" s="39"/>
      <c r="M32" s="4">
        <f>SUM(K32-I32)</f>
        <v>18239.2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434286.5599999999</v>
      </c>
      <c r="J34" s="5"/>
      <c r="K34" s="5">
        <f>SUM(K23:K32)</f>
        <v>423937.8900000001</v>
      </c>
      <c r="L34" s="5"/>
      <c r="M34" s="5">
        <f>SUM(M23:M32)</f>
        <v>-10348.66999999998</v>
      </c>
      <c r="N34" s="4"/>
      <c r="O34" s="5">
        <f>SUM(O23:O32)</f>
        <v>432720.01</v>
      </c>
      <c r="Q34" s="5">
        <f>SUM(Q23:Q32)</f>
        <v>-1566.5499999999713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33910.75</f>
        <v>33910.75</v>
      </c>
      <c r="J37" s="4"/>
      <c r="K37" s="4">
        <f>40214</f>
        <v>40214</v>
      </c>
      <c r="L37" s="4"/>
      <c r="M37" s="4">
        <f>SUM(K37-I37)</f>
        <v>6303.25</v>
      </c>
      <c r="O37" s="4">
        <f>52479</f>
        <v>52479</v>
      </c>
      <c r="Q37" s="4">
        <f>SUM(O37-I37)</f>
        <v>18568.25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33910.75</v>
      </c>
      <c r="J39" s="10"/>
      <c r="K39" s="10">
        <f>SUM(K37:K37)</f>
        <v>40214</v>
      </c>
      <c r="L39" s="10"/>
      <c r="M39" s="4">
        <f>SUM(K39-I39)</f>
        <v>6303.25</v>
      </c>
      <c r="N39" s="10"/>
      <c r="O39" s="10">
        <f>SUM(O37:O37)</f>
        <v>52479</v>
      </c>
      <c r="Q39" s="4">
        <f>SUM(O39-I39)</f>
        <v>18568.25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468197.3099999999</v>
      </c>
      <c r="J41" s="19"/>
      <c r="K41" s="19">
        <f>K34+K39</f>
        <v>464151.8900000001</v>
      </c>
      <c r="L41" s="19"/>
      <c r="M41" s="19">
        <f>M34+M39</f>
        <v>-4045.41999999998</v>
      </c>
      <c r="N41" s="17"/>
      <c r="O41" s="19">
        <f>O34+O39</f>
        <v>485199.01</v>
      </c>
      <c r="P41" s="17"/>
      <c r="Q41" s="19">
        <f>Q34+Q39</f>
        <v>17001.70000000003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28862.16000000015</v>
      </c>
      <c r="J43" s="28"/>
      <c r="K43" s="28">
        <f>K19-K41</f>
        <v>-1597.5400000000373</v>
      </c>
      <c r="L43" s="28"/>
      <c r="M43" s="28">
        <f>SUM(M41+M19)</f>
        <v>30459.7</v>
      </c>
      <c r="N43" s="34"/>
      <c r="O43" s="28">
        <f>O19-O41</f>
        <v>-57832.29999999999</v>
      </c>
      <c r="P43" s="34"/>
      <c r="Q43" s="28">
        <f>Q19+Q41</f>
        <v>86694.46000000004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44012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105</v>
      </c>
      <c r="J5" s="23"/>
      <c r="K5" s="23" t="s">
        <v>80</v>
      </c>
      <c r="L5" s="23"/>
      <c r="M5" s="26" t="s">
        <v>27</v>
      </c>
      <c r="O5" s="23" t="s">
        <v>105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1031305.39+258506.44+18950</f>
        <v>1308761.83</v>
      </c>
      <c r="J8" s="4"/>
      <c r="K8" s="4">
        <f>1083081.35+311330.6+20450</f>
        <v>1414861.9500000002</v>
      </c>
      <c r="L8" s="4"/>
      <c r="M8" s="4">
        <f aca="true" t="shared" si="0" ref="M8:M14">SUM(I8-K8)</f>
        <v>-106100.12000000011</v>
      </c>
      <c r="O8" s="4">
        <f>1095226.96+281943.23+22959</f>
        <v>1400129.19</v>
      </c>
      <c r="Q8" s="4">
        <f aca="true" t="shared" si="1" ref="Q8:Q14">SUM(I8-O8)</f>
        <v>-91367.35999999987</v>
      </c>
      <c r="S8" s="4"/>
      <c r="U8" s="65"/>
      <c r="X8" s="4"/>
    </row>
    <row r="9" spans="4:24" ht="12.75">
      <c r="D9" t="s">
        <v>2</v>
      </c>
      <c r="G9" s="4"/>
      <c r="I9" s="4">
        <v>40281.75</v>
      </c>
      <c r="J9" s="4"/>
      <c r="K9" s="4">
        <v>81827.14</v>
      </c>
      <c r="L9" s="4"/>
      <c r="M9" s="4">
        <f t="shared" si="0"/>
        <v>-41545.39</v>
      </c>
      <c r="O9" s="4">
        <v>37632.15</v>
      </c>
      <c r="Q9" s="4">
        <f t="shared" si="1"/>
        <v>2649.5999999999985</v>
      </c>
      <c r="S9" s="4"/>
      <c r="U9" s="65"/>
      <c r="X9" s="4"/>
    </row>
    <row r="10" spans="4:24" ht="12.75">
      <c r="D10" t="s">
        <v>3</v>
      </c>
      <c r="G10" s="4"/>
      <c r="I10" s="4">
        <v>72856.68</v>
      </c>
      <c r="J10" s="4"/>
      <c r="K10" s="4">
        <v>79419.75</v>
      </c>
      <c r="L10" s="4"/>
      <c r="M10" s="4">
        <f t="shared" si="0"/>
        <v>-6563.070000000007</v>
      </c>
      <c r="O10" s="4">
        <v>108773.97</v>
      </c>
      <c r="Q10" s="4">
        <f t="shared" si="1"/>
        <v>-35917.29000000001</v>
      </c>
      <c r="S10" s="4"/>
      <c r="U10" s="65"/>
      <c r="X10" s="4"/>
    </row>
    <row r="11" spans="4:24" ht="12.75">
      <c r="D11" t="s">
        <v>31</v>
      </c>
      <c r="G11" s="4"/>
      <c r="I11" s="4">
        <f>21917.44+54883</f>
        <v>76800.44</v>
      </c>
      <c r="J11" s="4"/>
      <c r="K11" s="4">
        <f>9863.39+59908</f>
        <v>69771.39</v>
      </c>
      <c r="L11" s="4"/>
      <c r="M11" s="4">
        <f t="shared" si="0"/>
        <v>7029.050000000003</v>
      </c>
      <c r="O11" s="4">
        <f>6782.51+58000</f>
        <v>64782.51</v>
      </c>
      <c r="Q11" s="4">
        <f t="shared" si="1"/>
        <v>12017.93</v>
      </c>
      <c r="S11" s="4"/>
      <c r="U11" s="65"/>
      <c r="X11" s="4"/>
    </row>
    <row r="12" spans="4:24" ht="12.75">
      <c r="D12" t="s">
        <v>30</v>
      </c>
      <c r="G12" s="4"/>
      <c r="I12" s="4">
        <v>12392.86</v>
      </c>
      <c r="J12" s="4"/>
      <c r="K12" s="4">
        <v>9864.4</v>
      </c>
      <c r="L12" s="4"/>
      <c r="M12" s="4">
        <f t="shared" si="0"/>
        <v>2528.460000000001</v>
      </c>
      <c r="O12" s="4">
        <v>8484.79</v>
      </c>
      <c r="Q12" s="4">
        <f t="shared" si="1"/>
        <v>3908.0699999999997</v>
      </c>
      <c r="S12" s="4"/>
      <c r="U12" s="65"/>
      <c r="X12" s="4"/>
    </row>
    <row r="13" spans="4:24" ht="12.75">
      <c r="D13" t="s">
        <v>29</v>
      </c>
      <c r="G13" s="4"/>
      <c r="I13" s="4">
        <v>62673.26</v>
      </c>
      <c r="J13" s="4"/>
      <c r="K13" s="4">
        <f>76610.14+949.6</f>
        <v>77559.74</v>
      </c>
      <c r="L13" s="4"/>
      <c r="M13" s="4">
        <f t="shared" si="0"/>
        <v>-14886.480000000003</v>
      </c>
      <c r="O13" s="4">
        <f>22556+37000</f>
        <v>59556</v>
      </c>
      <c r="Q13" s="4">
        <f t="shared" si="1"/>
        <v>3117.260000000002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1573766.82</v>
      </c>
      <c r="J16" s="5"/>
      <c r="K16" s="5">
        <f>SUM(K8:K14)</f>
        <v>1733304.3699999999</v>
      </c>
      <c r="L16" s="5"/>
      <c r="M16" s="5">
        <f>SUM(M8:M14)</f>
        <v>-159537.55000000016</v>
      </c>
      <c r="N16" s="5"/>
      <c r="O16" s="5">
        <f>SUM(O8:O14)</f>
        <v>1679358.6099999999</v>
      </c>
      <c r="Q16" s="5">
        <f>SUM(Q8:Q14)</f>
        <v>-105591.78999999986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1573766.82</v>
      </c>
      <c r="J19" s="61"/>
      <c r="K19" s="61">
        <f>K16</f>
        <v>1733304.3699999999</v>
      </c>
      <c r="L19" s="61"/>
      <c r="M19" s="61">
        <f>M16</f>
        <v>-159537.55000000016</v>
      </c>
      <c r="O19" s="61">
        <f>O16</f>
        <v>1679358.6099999999</v>
      </c>
      <c r="Q19" s="62">
        <f>SUM(I19-O19)</f>
        <v>-105591.7899999998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184099.56</v>
      </c>
      <c r="J23" s="4"/>
      <c r="K23" s="4">
        <v>182799.96</v>
      </c>
      <c r="L23" s="4"/>
      <c r="M23" s="4">
        <f aca="true" t="shared" si="2" ref="M23:M29">SUM(K23-I23)</f>
        <v>-1299.6000000000058</v>
      </c>
      <c r="O23" s="4">
        <v>185428</v>
      </c>
      <c r="Q23" s="4">
        <f aca="true" t="shared" si="3" ref="Q23:Q29">SUM(O23-I23)</f>
        <v>1328.4400000000023</v>
      </c>
      <c r="S23" s="4"/>
      <c r="U23" s="65"/>
      <c r="X23" s="4"/>
    </row>
    <row r="24" spans="3:24" ht="12.75">
      <c r="C24" t="s">
        <v>9</v>
      </c>
      <c r="G24" s="4"/>
      <c r="I24" s="4">
        <f>58901.08+437453.43+2415.96+55151.04+59821.12</f>
        <v>613742.63</v>
      </c>
      <c r="J24" s="4"/>
      <c r="K24" s="4">
        <f>63574.59+436027.69+2415.96+43731.69+64451.48</f>
        <v>610201.41</v>
      </c>
      <c r="L24" s="4"/>
      <c r="M24" s="4">
        <f t="shared" si="2"/>
        <v>-3541.219999999972</v>
      </c>
      <c r="O24" s="4">
        <f>62286+445779+2657.55+51058.39+74025.57</f>
        <v>635806.51</v>
      </c>
      <c r="Q24" s="4">
        <f t="shared" si="3"/>
        <v>22063.880000000005</v>
      </c>
      <c r="S24" s="4"/>
      <c r="U24" s="65"/>
      <c r="X24" s="4"/>
    </row>
    <row r="25" spans="3:24" ht="12.75">
      <c r="C25" s="3" t="s">
        <v>12</v>
      </c>
      <c r="G25" s="4"/>
      <c r="I25" s="4">
        <v>144193.37</v>
      </c>
      <c r="J25" s="4"/>
      <c r="K25" s="4">
        <v>147365.13</v>
      </c>
      <c r="L25" s="4"/>
      <c r="M25" s="4">
        <f t="shared" si="2"/>
        <v>3171.7600000000093</v>
      </c>
      <c r="O25" s="4">
        <v>153032.72</v>
      </c>
      <c r="Q25" s="4">
        <f t="shared" si="3"/>
        <v>8839.350000000006</v>
      </c>
      <c r="S25" s="4"/>
      <c r="U25" s="65"/>
      <c r="X25" s="4"/>
    </row>
    <row r="26" spans="3:24" ht="12.75">
      <c r="C26" t="s">
        <v>33</v>
      </c>
      <c r="G26" s="4"/>
      <c r="I26" s="4">
        <f>55403.04+29697.55+7037.43+20480.93</f>
        <v>112618.94999999998</v>
      </c>
      <c r="J26" s="4" t="s">
        <v>18</v>
      </c>
      <c r="K26" s="4">
        <f>33737.89+35145.08+8674.67+20062.19</f>
        <v>97619.83</v>
      </c>
      <c r="L26" s="4"/>
      <c r="M26" s="4">
        <f t="shared" si="2"/>
        <v>-14999.11999999998</v>
      </c>
      <c r="O26" s="4">
        <f>36580.78+38101.17+8693.73+29512.7</f>
        <v>112888.37999999999</v>
      </c>
      <c r="Q26" s="4">
        <f t="shared" si="3"/>
        <v>269.43000000000757</v>
      </c>
      <c r="S26" s="4"/>
      <c r="U26" s="65"/>
      <c r="X26" s="4"/>
    </row>
    <row r="27" spans="3:24" ht="12.75">
      <c r="C27" t="s">
        <v>10</v>
      </c>
      <c r="G27" s="4"/>
      <c r="I27" s="4">
        <v>60769.82</v>
      </c>
      <c r="J27" s="4"/>
      <c r="K27" s="4">
        <v>74302.31</v>
      </c>
      <c r="L27" s="4"/>
      <c r="M27" s="4">
        <f t="shared" si="2"/>
        <v>13532.489999999998</v>
      </c>
      <c r="O27" s="4">
        <v>122265.45</v>
      </c>
      <c r="Q27" s="4">
        <f t="shared" si="3"/>
        <v>61495.63</v>
      </c>
      <c r="S27" s="4"/>
      <c r="U27" s="65"/>
      <c r="X27" s="4"/>
    </row>
    <row r="28" spans="3:24" ht="12.75">
      <c r="C28" t="s">
        <v>11</v>
      </c>
      <c r="G28" s="4"/>
      <c r="I28" s="4">
        <v>12207.79</v>
      </c>
      <c r="J28" s="4"/>
      <c r="K28" s="4">
        <v>17289.1</v>
      </c>
      <c r="L28" s="4"/>
      <c r="M28" s="4">
        <f t="shared" si="2"/>
        <v>5081.309999999998</v>
      </c>
      <c r="O28" s="4">
        <v>16821.64</v>
      </c>
      <c r="Q28" s="4">
        <f t="shared" si="3"/>
        <v>4613.8499999999985</v>
      </c>
      <c r="S28" s="4"/>
      <c r="U28" s="65"/>
      <c r="X28" s="4"/>
    </row>
    <row r="29" spans="3:24" ht="12.75">
      <c r="C29" s="3" t="s">
        <v>40</v>
      </c>
      <c r="G29" s="4"/>
      <c r="I29" s="4">
        <f>71290.85+10773.35+18773.01</f>
        <v>100837.21</v>
      </c>
      <c r="J29" s="4"/>
      <c r="K29" s="4">
        <f>105898.96+24450.98+17523.3</f>
        <v>147873.24</v>
      </c>
      <c r="L29" s="4"/>
      <c r="M29" s="4">
        <f t="shared" si="2"/>
        <v>47036.029999999984</v>
      </c>
      <c r="O29" s="4">
        <f>153747.89+12568.72+30751.65</f>
        <v>197068.26</v>
      </c>
      <c r="Q29" s="4">
        <f t="shared" si="3"/>
        <v>96231.05</v>
      </c>
      <c r="S29" s="4"/>
      <c r="U29" s="65"/>
      <c r="X29" s="4"/>
    </row>
    <row r="30" spans="3:24" ht="12.75">
      <c r="C30" s="47" t="s">
        <v>41</v>
      </c>
      <c r="G30" s="4"/>
      <c r="I30" s="4">
        <f>31328.48+12032.57+26223.06</f>
        <v>69584.11</v>
      </c>
      <c r="J30" s="4"/>
      <c r="K30" s="4">
        <f>35906.47+12494.94+32249.35</f>
        <v>80650.76000000001</v>
      </c>
      <c r="L30" s="4"/>
      <c r="M30" s="4">
        <f>SUM(K30-I30)</f>
        <v>11066.650000000009</v>
      </c>
      <c r="O30" s="4">
        <f>41431.94+12753.59+39827.58</f>
        <v>94013.11</v>
      </c>
      <c r="Q30" s="4">
        <f>SUM(O30-I30)</f>
        <v>24429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25047</v>
      </c>
      <c r="J32" s="39"/>
      <c r="K32" s="39">
        <v>40455</v>
      </c>
      <c r="L32" s="39"/>
      <c r="M32" s="4">
        <f>SUM(K32-I32)</f>
        <v>15408</v>
      </c>
      <c r="N32" s="42"/>
      <c r="O32" s="39">
        <v>0</v>
      </c>
      <c r="P32" s="42"/>
      <c r="Q32" s="4">
        <f>SUM(O32-I32)</f>
        <v>-25047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1323100.4400000002</v>
      </c>
      <c r="J34" s="5"/>
      <c r="K34" s="5">
        <f>SUM(K23:K32)</f>
        <v>1398556.74</v>
      </c>
      <c r="L34" s="5"/>
      <c r="M34" s="5">
        <f>SUM(M23:M32)</f>
        <v>75456.30000000005</v>
      </c>
      <c r="N34" s="4"/>
      <c r="O34" s="5">
        <f>SUM(O23:O32)</f>
        <v>1517324.0699999998</v>
      </c>
      <c r="Q34" s="5">
        <f>SUM(Q23:Q32)</f>
        <v>194223.63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124000</v>
      </c>
      <c r="J37" s="4"/>
      <c r="K37" s="4">
        <v>132000</v>
      </c>
      <c r="L37" s="4"/>
      <c r="M37" s="4">
        <f>SUM(K37-I37)</f>
        <v>8000</v>
      </c>
      <c r="O37" s="4">
        <v>135000</v>
      </c>
      <c r="Q37" s="4">
        <f>SUM(O37-I37)</f>
        <v>11000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124000</v>
      </c>
      <c r="J39" s="10"/>
      <c r="K39" s="10">
        <f>SUM(K37:K37)</f>
        <v>132000</v>
      </c>
      <c r="L39" s="10"/>
      <c r="M39" s="4">
        <f>SUM(K39-I39)</f>
        <v>8000</v>
      </c>
      <c r="N39" s="10"/>
      <c r="O39" s="10">
        <f>SUM(O37:O37)</f>
        <v>135000</v>
      </c>
      <c r="Q39" s="4">
        <f>SUM(O39-I39)</f>
        <v>11000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1447100.4400000002</v>
      </c>
      <c r="J41" s="61"/>
      <c r="K41" s="61">
        <f>K34+K39</f>
        <v>1530556.74</v>
      </c>
      <c r="L41" s="61"/>
      <c r="M41" s="61">
        <f>M34+M39</f>
        <v>83456.30000000005</v>
      </c>
      <c r="O41" s="61">
        <f>O34+O39</f>
        <v>1652324.0699999998</v>
      </c>
      <c r="Q41" s="61">
        <f>Q34+Q39</f>
        <v>205223.63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126666.37999999989</v>
      </c>
      <c r="J43" s="62"/>
      <c r="K43" s="62">
        <f>K19-K41</f>
        <v>202747.6299999999</v>
      </c>
      <c r="L43" s="62"/>
      <c r="M43" s="62">
        <f>SUM(M41+M19)</f>
        <v>-76081.25000000012</v>
      </c>
      <c r="O43" s="62">
        <f>O19-O41</f>
        <v>27034.540000000037</v>
      </c>
      <c r="Q43" s="62">
        <f>Q19+Q41</f>
        <v>99631.8400000002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44196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110</v>
      </c>
      <c r="J5" s="23"/>
      <c r="K5" s="23" t="s">
        <v>111</v>
      </c>
      <c r="L5" s="23"/>
      <c r="M5" s="26" t="s">
        <v>27</v>
      </c>
      <c r="O5" s="23" t="s">
        <v>110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521305.09+198682.25+6650</f>
        <v>726637.3400000001</v>
      </c>
      <c r="J8" s="4"/>
      <c r="K8" s="4">
        <f>558859.18+145050.96+11550</f>
        <v>715460.14</v>
      </c>
      <c r="L8" s="4"/>
      <c r="M8" s="4">
        <f aca="true" t="shared" si="0" ref="M8:M14">SUM(I8-K8)</f>
        <v>11177.20000000007</v>
      </c>
      <c r="O8" s="4">
        <f>482475.29+173266.8+13436.85</f>
        <v>669178.94</v>
      </c>
      <c r="Q8" s="4">
        <f aca="true" t="shared" si="1" ref="Q8:Q14">SUM(I8-O8)</f>
        <v>57458.40000000014</v>
      </c>
      <c r="S8" s="4"/>
      <c r="U8" s="65"/>
      <c r="X8" s="4"/>
    </row>
    <row r="9" spans="4:24" ht="12.75">
      <c r="D9" t="s">
        <v>2</v>
      </c>
      <c r="G9" s="4"/>
      <c r="I9" s="4">
        <v>-8879.93</v>
      </c>
      <c r="J9" s="4"/>
      <c r="K9" s="4">
        <v>23662.66</v>
      </c>
      <c r="L9" s="4"/>
      <c r="M9" s="4">
        <f t="shared" si="0"/>
        <v>-32542.59</v>
      </c>
      <c r="O9" s="4">
        <v>24632.46</v>
      </c>
      <c r="Q9" s="4">
        <f t="shared" si="1"/>
        <v>-33512.39</v>
      </c>
      <c r="S9" s="4"/>
      <c r="U9" s="65"/>
      <c r="X9" s="4"/>
    </row>
    <row r="10" spans="4:24" ht="12.75">
      <c r="D10" t="s">
        <v>3</v>
      </c>
      <c r="G10" s="4"/>
      <c r="I10" s="4">
        <v>50987.54</v>
      </c>
      <c r="J10" s="4"/>
      <c r="K10" s="4">
        <v>67218.01</v>
      </c>
      <c r="L10" s="4"/>
      <c r="M10" s="4">
        <f t="shared" si="0"/>
        <v>-16230.469999999994</v>
      </c>
      <c r="O10" s="4">
        <v>71300.87</v>
      </c>
      <c r="Q10" s="4">
        <f t="shared" si="1"/>
        <v>-20313.329999999994</v>
      </c>
      <c r="S10" s="4"/>
      <c r="U10" s="65"/>
      <c r="X10" s="4"/>
    </row>
    <row r="11" spans="4:24" ht="12.75">
      <c r="D11" t="s">
        <v>31</v>
      </c>
      <c r="G11" s="4"/>
      <c r="I11" s="4">
        <f>9534.88+24000</f>
        <v>33534.88</v>
      </c>
      <c r="J11" s="4"/>
      <c r="K11" s="4">
        <f>12723.52+28756</f>
        <v>41479.520000000004</v>
      </c>
      <c r="L11" s="4"/>
      <c r="M11" s="4">
        <f t="shared" si="0"/>
        <v>-7944.640000000007</v>
      </c>
      <c r="O11" s="4">
        <f>3391.26+30945.37</f>
        <v>34336.63</v>
      </c>
      <c r="Q11" s="4">
        <f t="shared" si="1"/>
        <v>-801.75</v>
      </c>
      <c r="S11" s="4"/>
      <c r="U11" s="65"/>
      <c r="X11" s="4"/>
    </row>
    <row r="12" spans="4:24" ht="12.75">
      <c r="D12" t="s">
        <v>30</v>
      </c>
      <c r="G12" s="4"/>
      <c r="I12" s="4">
        <v>2120.49</v>
      </c>
      <c r="J12" s="4"/>
      <c r="K12" s="4">
        <v>2088.43</v>
      </c>
      <c r="L12" s="4"/>
      <c r="M12" s="4">
        <f t="shared" si="0"/>
        <v>32.059999999999945</v>
      </c>
      <c r="O12" s="4">
        <v>2190.56</v>
      </c>
      <c r="Q12" s="4">
        <f t="shared" si="1"/>
        <v>-70.07000000000016</v>
      </c>
      <c r="S12" s="4"/>
      <c r="U12" s="65"/>
      <c r="X12" s="4"/>
    </row>
    <row r="13" spans="4:24" ht="12.75">
      <c r="D13" t="s">
        <v>29</v>
      </c>
      <c r="G13" s="4"/>
      <c r="I13" s="4">
        <f>343.12+5071.74</f>
        <v>5414.86</v>
      </c>
      <c r="J13" s="4"/>
      <c r="K13" s="4">
        <v>27845.61</v>
      </c>
      <c r="L13" s="4"/>
      <c r="M13" s="4">
        <f t="shared" si="0"/>
        <v>-22430.75</v>
      </c>
      <c r="O13" s="4">
        <v>120936.27</v>
      </c>
      <c r="Q13" s="4">
        <f t="shared" si="1"/>
        <v>-115521.41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809815.18</v>
      </c>
      <c r="J16" s="5"/>
      <c r="K16" s="5">
        <f>SUM(K8:K14)</f>
        <v>877754.3700000001</v>
      </c>
      <c r="L16" s="5"/>
      <c r="M16" s="5">
        <f>SUM(M8:M14)</f>
        <v>-67939.18999999994</v>
      </c>
      <c r="N16" s="5"/>
      <c r="O16" s="5">
        <f>SUM(O8:O14)</f>
        <v>922575.73</v>
      </c>
      <c r="Q16" s="5">
        <f>SUM(Q8:Q14)</f>
        <v>-112760.54999999986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809815.18</v>
      </c>
      <c r="J19" s="61"/>
      <c r="K19" s="61">
        <f>K16</f>
        <v>877754.3700000001</v>
      </c>
      <c r="L19" s="61"/>
      <c r="M19" s="61">
        <f>M16</f>
        <v>-67939.18999999994</v>
      </c>
      <c r="O19" s="61">
        <f>O16</f>
        <v>922575.73</v>
      </c>
      <c r="Q19" s="62">
        <f>SUM(I19-O19)</f>
        <v>-112760.54999999993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94950</v>
      </c>
      <c r="J23" s="4"/>
      <c r="K23" s="4">
        <v>92049.78</v>
      </c>
      <c r="L23" s="4"/>
      <c r="M23" s="4">
        <f aca="true" t="shared" si="2" ref="M23:M29">SUM(K23-I23)</f>
        <v>-2900.220000000001</v>
      </c>
      <c r="O23" s="4">
        <v>96186</v>
      </c>
      <c r="Q23" s="4">
        <f aca="true" t="shared" si="3" ref="Q23:Q29">SUM(O23-I23)</f>
        <v>1236</v>
      </c>
      <c r="S23" s="4"/>
      <c r="U23" s="65"/>
      <c r="X23" s="4"/>
    </row>
    <row r="24" spans="3:24" ht="12.75">
      <c r="C24" t="s">
        <v>9</v>
      </c>
      <c r="G24" s="4"/>
      <c r="I24" s="4">
        <f>33597.76+192789.74+1341+30609.66+26917.93</f>
        <v>285256.09</v>
      </c>
      <c r="J24" s="4"/>
      <c r="K24" s="4">
        <f>35971.8+235931.15+1207.98+27575.52+33294.88</f>
        <v>333981.33</v>
      </c>
      <c r="L24" s="4"/>
      <c r="M24" s="4">
        <f t="shared" si="2"/>
        <v>48725.23999999999</v>
      </c>
      <c r="O24" s="4">
        <f>40732.06+209168.41+1328.78+30333.07+37995.47</f>
        <v>319557.79000000004</v>
      </c>
      <c r="Q24" s="4">
        <f t="shared" si="3"/>
        <v>34301.70000000001</v>
      </c>
      <c r="S24" s="4"/>
      <c r="U24" s="65"/>
      <c r="X24" s="4"/>
    </row>
    <row r="25" spans="3:24" ht="12.75">
      <c r="C25" s="3" t="s">
        <v>106</v>
      </c>
      <c r="G25" s="4"/>
      <c r="I25" s="4">
        <v>63521.32</v>
      </c>
      <c r="J25" s="4"/>
      <c r="K25" s="4">
        <v>73598.59</v>
      </c>
      <c r="L25" s="4"/>
      <c r="M25" s="4">
        <f t="shared" si="2"/>
        <v>10077.269999999997</v>
      </c>
      <c r="O25" s="4">
        <v>68920.29</v>
      </c>
      <c r="Q25" s="4">
        <f t="shared" si="3"/>
        <v>5398.969999999994</v>
      </c>
      <c r="S25" s="4"/>
      <c r="U25" s="65"/>
      <c r="X25" s="4"/>
    </row>
    <row r="26" spans="3:24" ht="12.75">
      <c r="C26" t="s">
        <v>33</v>
      </c>
      <c r="G26" s="4"/>
      <c r="I26" s="4">
        <f>55001.89+11931.92+3633.44+4684.17</f>
        <v>75251.42</v>
      </c>
      <c r="J26" s="4" t="s">
        <v>18</v>
      </c>
      <c r="K26" s="4">
        <f>12927.63+20414.98+3046.34+12968.98</f>
        <v>49357.92999999999</v>
      </c>
      <c r="L26" s="4"/>
      <c r="M26" s="4">
        <f t="shared" si="2"/>
        <v>-25893.490000000005</v>
      </c>
      <c r="O26" s="4">
        <f>14243.78+23507.11+3390.46+17327.56</f>
        <v>58468.91</v>
      </c>
      <c r="Q26" s="4">
        <f t="shared" si="3"/>
        <v>-16782.509999999995</v>
      </c>
      <c r="S26" s="4"/>
      <c r="U26" s="65"/>
      <c r="X26" s="4"/>
    </row>
    <row r="27" spans="3:24" ht="12.75">
      <c r="C27" t="s">
        <v>10</v>
      </c>
      <c r="G27" s="4"/>
      <c r="I27" s="4">
        <v>26002.04</v>
      </c>
      <c r="J27" s="4"/>
      <c r="K27" s="4">
        <v>37482.54</v>
      </c>
      <c r="L27" s="4"/>
      <c r="M27" s="4">
        <f t="shared" si="2"/>
        <v>11480.5</v>
      </c>
      <c r="O27" s="4">
        <v>60149.3</v>
      </c>
      <c r="Q27" s="4">
        <f t="shared" si="3"/>
        <v>34147.26</v>
      </c>
      <c r="S27" s="4"/>
      <c r="U27" s="65"/>
      <c r="X27" s="4"/>
    </row>
    <row r="28" spans="3:24" ht="12.75">
      <c r="C28" t="s">
        <v>11</v>
      </c>
      <c r="G28" s="4"/>
      <c r="I28" s="4">
        <v>5281.25</v>
      </c>
      <c r="J28" s="4"/>
      <c r="K28" s="4">
        <v>6149.55</v>
      </c>
      <c r="L28" s="4"/>
      <c r="M28" s="4">
        <f t="shared" si="2"/>
        <v>868.3000000000002</v>
      </c>
      <c r="O28" s="4">
        <v>7966.9</v>
      </c>
      <c r="Q28" s="4">
        <f t="shared" si="3"/>
        <v>2685.6499999999996</v>
      </c>
      <c r="S28" s="4"/>
      <c r="U28" s="65"/>
      <c r="X28" s="4"/>
    </row>
    <row r="29" spans="3:24" ht="12.75">
      <c r="C29" s="3" t="s">
        <v>40</v>
      </c>
      <c r="G29" s="4"/>
      <c r="I29" s="4">
        <f>20479.73+586.04+5649.88</f>
        <v>26715.65</v>
      </c>
      <c r="J29" s="4"/>
      <c r="K29" s="4">
        <f>42384.05+2363.69+11302.51</f>
        <v>56050.25000000001</v>
      </c>
      <c r="L29" s="4"/>
      <c r="M29" s="4">
        <f t="shared" si="2"/>
        <v>29334.600000000006</v>
      </c>
      <c r="O29" s="4">
        <f>72931.2+3283.47+13078.24</f>
        <v>89292.91</v>
      </c>
      <c r="Q29" s="4">
        <f t="shared" si="3"/>
        <v>62577.26</v>
      </c>
      <c r="S29" s="4"/>
      <c r="U29" s="65"/>
      <c r="X29" s="4"/>
    </row>
    <row r="30" spans="3:24" ht="12.75">
      <c r="C30" s="47" t="s">
        <v>41</v>
      </c>
      <c r="G30" s="4"/>
      <c r="I30" s="4">
        <f>15296.7+6081.27+13194.97</f>
        <v>34572.94</v>
      </c>
      <c r="J30" s="4"/>
      <c r="K30" s="4">
        <f>17892.51+6596.23+15351.96</f>
        <v>39840.7</v>
      </c>
      <c r="L30" s="4"/>
      <c r="M30" s="4">
        <f>SUM(K30-I30)</f>
        <v>5267.759999999995</v>
      </c>
      <c r="O30" s="4">
        <f>20909.94+6936.16+19298.74</f>
        <v>47144.84</v>
      </c>
      <c r="Q30" s="4">
        <f>SUM(O30-I30)</f>
        <v>12571.899999999994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611550.71</v>
      </c>
      <c r="J34" s="5"/>
      <c r="K34" s="5">
        <f>SUM(K23:K32)</f>
        <v>688510.6699999999</v>
      </c>
      <c r="L34" s="5"/>
      <c r="M34" s="5">
        <f>SUM(M23:M32)</f>
        <v>76959.95999999998</v>
      </c>
      <c r="N34" s="4"/>
      <c r="O34" s="5">
        <f>SUM(O23:O32)</f>
        <v>747686.9400000001</v>
      </c>
      <c r="Q34" s="5">
        <f>SUM(Q23:Q32)</f>
        <v>136136.23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65500</v>
      </c>
      <c r="J37" s="4"/>
      <c r="K37" s="4">
        <v>62000</v>
      </c>
      <c r="L37" s="4"/>
      <c r="M37" s="4">
        <f>SUM(K37-I37)</f>
        <v>-3500</v>
      </c>
      <c r="O37" s="4">
        <v>67500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65500</v>
      </c>
      <c r="J39" s="5"/>
      <c r="K39" s="5">
        <f>SUM(K37:K37)</f>
        <v>62000</v>
      </c>
      <c r="L39" s="5"/>
      <c r="M39" s="4">
        <f>SUM(K39-I39)</f>
        <v>-3500</v>
      </c>
      <c r="N39" s="5"/>
      <c r="O39" s="5">
        <f>SUM(O37:O37)</f>
        <v>67500</v>
      </c>
      <c r="Q39" s="4">
        <f>SUM(O39-I39)</f>
        <v>2000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677050.71</v>
      </c>
      <c r="J41" s="61"/>
      <c r="K41" s="61">
        <f>K34+K39</f>
        <v>750510.6699999999</v>
      </c>
      <c r="L41" s="61"/>
      <c r="M41" s="61">
        <f>M34+M39</f>
        <v>73459.95999999998</v>
      </c>
      <c r="O41" s="61">
        <f>O34+O39</f>
        <v>815186.9400000001</v>
      </c>
      <c r="Q41" s="61">
        <f>Q34+Q39</f>
        <v>138136.23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132764.4700000001</v>
      </c>
      <c r="J43" s="62"/>
      <c r="K43" s="62">
        <f>K19-K41</f>
        <v>127243.70000000019</v>
      </c>
      <c r="L43" s="62"/>
      <c r="M43" s="62">
        <f>SUM(M41+M19)</f>
        <v>5520.770000000033</v>
      </c>
      <c r="O43" s="62">
        <f>O19-O41</f>
        <v>107388.78999999992</v>
      </c>
      <c r="Q43" s="62">
        <f>Q19+Q41</f>
        <v>25375.68000000008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44255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112</v>
      </c>
      <c r="J5" s="23"/>
      <c r="K5" s="23" t="s">
        <v>113</v>
      </c>
      <c r="L5" s="23"/>
      <c r="M5" s="26" t="s">
        <v>27</v>
      </c>
      <c r="O5" s="23" t="s">
        <v>112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863538.93+241420.03+8100</f>
        <v>1113058.96</v>
      </c>
      <c r="J8" s="4"/>
      <c r="K8" s="4">
        <f>738797.49+171922.57+15500</f>
        <v>926220.06</v>
      </c>
      <c r="L8" s="4"/>
      <c r="M8" s="4">
        <f aca="true" t="shared" si="0" ref="M8:M14">SUM(I8-K8)</f>
        <v>186838.8999999999</v>
      </c>
      <c r="O8" s="4">
        <f>637942.01+201831.05+18087.11</f>
        <v>857860.17</v>
      </c>
      <c r="Q8" s="4">
        <f aca="true" t="shared" si="1" ref="Q8:Q14">SUM(I8-O8)</f>
        <v>255198.78999999992</v>
      </c>
      <c r="S8" s="4"/>
      <c r="U8" s="65"/>
      <c r="X8" s="4"/>
    </row>
    <row r="9" spans="4:24" ht="12.75">
      <c r="D9" t="s">
        <v>2</v>
      </c>
      <c r="G9" s="4"/>
      <c r="I9" s="4">
        <v>3284.58</v>
      </c>
      <c r="J9" s="4"/>
      <c r="K9" s="4">
        <v>21383.69</v>
      </c>
      <c r="L9" s="4"/>
      <c r="M9" s="4">
        <f t="shared" si="0"/>
        <v>-18099.11</v>
      </c>
      <c r="O9" s="4">
        <v>17665.74</v>
      </c>
      <c r="Q9" s="4">
        <f t="shared" si="1"/>
        <v>-14381.160000000002</v>
      </c>
      <c r="S9" s="4"/>
      <c r="U9" s="65"/>
      <c r="X9" s="4"/>
    </row>
    <row r="10" spans="4:24" ht="12.75">
      <c r="D10" t="s">
        <v>3</v>
      </c>
      <c r="G10" s="4"/>
      <c r="I10" s="4">
        <v>52043.76</v>
      </c>
      <c r="J10" s="4"/>
      <c r="K10" s="4">
        <v>71115.65</v>
      </c>
      <c r="L10" s="4"/>
      <c r="M10" s="4">
        <f t="shared" si="0"/>
        <v>-19071.889999999992</v>
      </c>
      <c r="O10" s="4">
        <v>71963.56</v>
      </c>
      <c r="Q10" s="4">
        <f t="shared" si="1"/>
        <v>-19919.799999999996</v>
      </c>
      <c r="S10" s="4"/>
      <c r="U10" s="65"/>
      <c r="X10" s="4"/>
    </row>
    <row r="11" spans="4:24" ht="12.75">
      <c r="D11" t="s">
        <v>31</v>
      </c>
      <c r="G11" s="4"/>
      <c r="I11" s="4">
        <f>10048.88+32300</f>
        <v>42348.88</v>
      </c>
      <c r="J11" s="4"/>
      <c r="K11" s="4">
        <f>13161.02+38433</f>
        <v>51594.020000000004</v>
      </c>
      <c r="L11" s="4"/>
      <c r="M11" s="4">
        <f t="shared" si="0"/>
        <v>-9245.140000000007</v>
      </c>
      <c r="O11" s="4">
        <f>4521.67+41380.59</f>
        <v>45902.259999999995</v>
      </c>
      <c r="Q11" s="4">
        <f t="shared" si="1"/>
        <v>-3553.3799999999974</v>
      </c>
      <c r="S11" s="4"/>
      <c r="U11" s="65"/>
      <c r="X11" s="4"/>
    </row>
    <row r="12" spans="4:24" ht="12.75">
      <c r="D12" t="s">
        <v>30</v>
      </c>
      <c r="G12" s="4"/>
      <c r="I12" s="4">
        <v>2800.49</v>
      </c>
      <c r="J12" s="4"/>
      <c r="K12" s="4">
        <v>2857.65</v>
      </c>
      <c r="L12" s="4"/>
      <c r="M12" s="4">
        <f t="shared" si="0"/>
        <v>-57.16000000000031</v>
      </c>
      <c r="O12" s="4">
        <v>2987.58</v>
      </c>
      <c r="Q12" s="4">
        <f t="shared" si="1"/>
        <v>-187.09000000000015</v>
      </c>
      <c r="S12" s="4"/>
      <c r="U12" s="65"/>
      <c r="X12" s="4"/>
    </row>
    <row r="13" spans="4:24" ht="12.75">
      <c r="D13" t="s">
        <v>29</v>
      </c>
      <c r="G13" s="4"/>
      <c r="I13" s="4">
        <f>343.21+5071.74</f>
        <v>5414.95</v>
      </c>
      <c r="J13" s="4"/>
      <c r="K13" s="4">
        <v>27945.61</v>
      </c>
      <c r="L13" s="4"/>
      <c r="M13" s="4">
        <f t="shared" si="0"/>
        <v>-22530.66</v>
      </c>
      <c r="O13" s="4">
        <v>124242.78</v>
      </c>
      <c r="Q13" s="4">
        <f t="shared" si="1"/>
        <v>-118827.83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1218951.6199999999</v>
      </c>
      <c r="J16" s="5"/>
      <c r="K16" s="5">
        <f>SUM(K8:K14)</f>
        <v>1101116.68</v>
      </c>
      <c r="L16" s="5"/>
      <c r="M16" s="5">
        <f>SUM(M8:M14)</f>
        <v>117834.93999999992</v>
      </c>
      <c r="N16" s="5"/>
      <c r="O16" s="5">
        <f>SUM(O8:O14)</f>
        <v>1120622.0899999999</v>
      </c>
      <c r="Q16" s="5">
        <f>SUM(Q8:Q14)</f>
        <v>98329.52999999993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1218951.6199999999</v>
      </c>
      <c r="J19" s="61"/>
      <c r="K19" s="61">
        <f>K16</f>
        <v>1101116.68</v>
      </c>
      <c r="L19" s="61"/>
      <c r="M19" s="61">
        <f>M16</f>
        <v>117834.93999999992</v>
      </c>
      <c r="O19" s="61">
        <f>O16</f>
        <v>1120622.0899999999</v>
      </c>
      <c r="Q19" s="62">
        <f>SUM(I19-O19)</f>
        <v>98329.53000000003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126600</v>
      </c>
      <c r="J23" s="4"/>
      <c r="K23" s="4">
        <v>122733.04</v>
      </c>
      <c r="L23" s="4"/>
      <c r="M23" s="4">
        <f aca="true" t="shared" si="2" ref="M23:M29">SUM(K23-I23)</f>
        <v>-3866.9600000000064</v>
      </c>
      <c r="O23" s="4">
        <v>128248</v>
      </c>
      <c r="Q23" s="4">
        <f aca="true" t="shared" si="3" ref="Q23:Q29">SUM(O23-I23)</f>
        <v>1648</v>
      </c>
      <c r="S23" s="4"/>
      <c r="U23" s="65"/>
      <c r="X23" s="4"/>
    </row>
    <row r="24" spans="3:24" ht="12.75">
      <c r="C24" t="s">
        <v>9</v>
      </c>
      <c r="G24" s="4"/>
      <c r="I24" s="4">
        <f>44910.38+242830.69+1788+40812.88+37993.65</f>
        <v>368335.60000000003</v>
      </c>
      <c r="J24" s="4"/>
      <c r="K24" s="4">
        <f>45092.4+303710.48+1610.84+36767.36+46991.64</f>
        <v>434172.72000000003</v>
      </c>
      <c r="L24" s="4"/>
      <c r="M24" s="4">
        <f t="shared" si="2"/>
        <v>65837.12</v>
      </c>
      <c r="O24" s="4">
        <f>50990.41+269288.85+1771.71+40444.09+53676.17</f>
        <v>416171.23000000004</v>
      </c>
      <c r="Q24" s="4">
        <f t="shared" si="3"/>
        <v>47835.630000000005</v>
      </c>
      <c r="S24" s="4"/>
      <c r="U24" s="65"/>
      <c r="X24" s="4"/>
    </row>
    <row r="25" spans="3:24" ht="12.75">
      <c r="C25" s="3" t="s">
        <v>106</v>
      </c>
      <c r="G25" s="4"/>
      <c r="I25" s="4">
        <v>87224.61</v>
      </c>
      <c r="J25" s="4"/>
      <c r="K25" s="4">
        <v>100608.47</v>
      </c>
      <c r="L25" s="4"/>
      <c r="M25" s="4">
        <f t="shared" si="2"/>
        <v>13383.86</v>
      </c>
      <c r="O25" s="4">
        <v>91232.01</v>
      </c>
      <c r="Q25" s="4">
        <f t="shared" si="3"/>
        <v>4007.399999999994</v>
      </c>
      <c r="S25" s="4"/>
      <c r="U25" s="65"/>
      <c r="X25" s="4"/>
    </row>
    <row r="26" spans="3:24" ht="12.75">
      <c r="C26" t="s">
        <v>33</v>
      </c>
      <c r="G26" s="4"/>
      <c r="I26" s="4">
        <f>74486.69+17048.33+4950.33+7230.83</f>
        <v>103716.18000000001</v>
      </c>
      <c r="J26" s="4" t="s">
        <v>18</v>
      </c>
      <c r="K26" s="4">
        <f>20816.03+23498.83+4717.66+15272.85</f>
        <v>64305.37</v>
      </c>
      <c r="L26" s="4"/>
      <c r="M26" s="4">
        <f t="shared" si="2"/>
        <v>-39410.810000000005</v>
      </c>
      <c r="O26" s="4">
        <f>23335+26642.11+5299.95+21562.23</f>
        <v>76839.29</v>
      </c>
      <c r="Q26" s="4">
        <f t="shared" si="3"/>
        <v>-26876.890000000014</v>
      </c>
      <c r="S26" s="4"/>
      <c r="U26" s="65"/>
      <c r="X26" s="4"/>
    </row>
    <row r="27" spans="3:24" ht="12.75">
      <c r="C27" t="s">
        <v>10</v>
      </c>
      <c r="G27" s="4"/>
      <c r="I27" s="4">
        <v>28628.92</v>
      </c>
      <c r="J27" s="4"/>
      <c r="K27" s="4">
        <v>50488</v>
      </c>
      <c r="L27" s="4"/>
      <c r="M27" s="4">
        <f t="shared" si="2"/>
        <v>21859.08</v>
      </c>
      <c r="O27" s="4">
        <v>79677.14</v>
      </c>
      <c r="Q27" s="4">
        <f t="shared" si="3"/>
        <v>51048.22</v>
      </c>
      <c r="S27" s="4"/>
      <c r="U27" s="65"/>
      <c r="X27" s="4"/>
    </row>
    <row r="28" spans="3:24" ht="12.75">
      <c r="C28" t="s">
        <v>11</v>
      </c>
      <c r="G28" s="4"/>
      <c r="I28" s="4">
        <v>6443.39</v>
      </c>
      <c r="J28" s="4"/>
      <c r="K28" s="4">
        <v>8697.65</v>
      </c>
      <c r="L28" s="4"/>
      <c r="M28" s="4">
        <f t="shared" si="2"/>
        <v>2254.2599999999993</v>
      </c>
      <c r="O28" s="4">
        <v>11255.45</v>
      </c>
      <c r="Q28" s="4">
        <f t="shared" si="3"/>
        <v>4812.06</v>
      </c>
      <c r="S28" s="4"/>
      <c r="U28" s="65"/>
      <c r="X28" s="4"/>
    </row>
    <row r="29" spans="3:24" ht="12.75">
      <c r="C29" s="3" t="s">
        <v>40</v>
      </c>
      <c r="G29" s="4"/>
      <c r="I29" s="4">
        <f>42309.78+2368.36+6881.89</f>
        <v>51560.03</v>
      </c>
      <c r="J29" s="4"/>
      <c r="K29" s="4">
        <f>56896.51+2760.97+12438.49</f>
        <v>72095.97</v>
      </c>
      <c r="L29" s="4"/>
      <c r="M29" s="4">
        <f t="shared" si="2"/>
        <v>20535.940000000002</v>
      </c>
      <c r="O29" s="4">
        <f>95626.66+3658.41+15593.3</f>
        <v>114878.37000000001</v>
      </c>
      <c r="Q29" s="4">
        <f t="shared" si="3"/>
        <v>63318.34000000001</v>
      </c>
      <c r="S29" s="4"/>
      <c r="U29" s="65"/>
      <c r="X29" s="4"/>
    </row>
    <row r="30" spans="3:24" ht="12.75">
      <c r="C30" s="47" t="s">
        <v>41</v>
      </c>
      <c r="G30" s="4"/>
      <c r="I30" s="4">
        <f>20909.9+8515.26+17896.05</f>
        <v>47321.21000000001</v>
      </c>
      <c r="J30" s="4"/>
      <c r="K30" s="4">
        <f>23865.14+8851+20620.8</f>
        <v>53336.94</v>
      </c>
      <c r="L30" s="4"/>
      <c r="M30" s="4">
        <f>SUM(K30-I30)</f>
        <v>6015.729999999996</v>
      </c>
      <c r="O30" s="4">
        <f>27890.44+9307.98+25901.84</f>
        <v>63100.259999999995</v>
      </c>
      <c r="Q30" s="4">
        <f>SUM(O30-I30)</f>
        <v>15779.049999999988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819829.9400000002</v>
      </c>
      <c r="J34" s="5"/>
      <c r="K34" s="5">
        <f>SUM(K23:K32)</f>
        <v>906438.1599999999</v>
      </c>
      <c r="L34" s="5"/>
      <c r="M34" s="5">
        <f>SUM(M23:M32)</f>
        <v>86608.21999999999</v>
      </c>
      <c r="N34" s="4"/>
      <c r="O34" s="5">
        <f>SUM(O23:O32)</f>
        <v>981401.75</v>
      </c>
      <c r="Q34" s="5">
        <f>SUM(Q23:Q32)</f>
        <v>161571.81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98250</v>
      </c>
      <c r="J37" s="4"/>
      <c r="K37" s="4">
        <v>93000</v>
      </c>
      <c r="L37" s="4"/>
      <c r="M37" s="4">
        <f>SUM(K37-I37)</f>
        <v>-5250</v>
      </c>
      <c r="O37" s="4">
        <v>101250</v>
      </c>
      <c r="Q37" s="4">
        <f>SUM(O37-I37)</f>
        <v>3000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98250</v>
      </c>
      <c r="J39" s="5"/>
      <c r="K39" s="5">
        <f>SUM(K37:K37)</f>
        <v>93000</v>
      </c>
      <c r="L39" s="5"/>
      <c r="M39" s="4">
        <f>SUM(K39-I39)</f>
        <v>-5250</v>
      </c>
      <c r="N39" s="5"/>
      <c r="O39" s="5">
        <f>SUM(O37:O37)</f>
        <v>101250</v>
      </c>
      <c r="Q39" s="4">
        <f>SUM(O39-I39)</f>
        <v>3000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918079.9400000002</v>
      </c>
      <c r="J41" s="61"/>
      <c r="K41" s="61">
        <f>K34+K39</f>
        <v>999438.1599999999</v>
      </c>
      <c r="L41" s="61"/>
      <c r="M41" s="61">
        <f>M34+M39</f>
        <v>81358.21999999999</v>
      </c>
      <c r="O41" s="61">
        <f>O34+O39</f>
        <v>1082651.75</v>
      </c>
      <c r="Q41" s="61">
        <f>Q34+Q39</f>
        <v>164571.81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300871.6799999997</v>
      </c>
      <c r="J43" s="62"/>
      <c r="K43" s="62">
        <f>K19-K41</f>
        <v>101678.52000000002</v>
      </c>
      <c r="L43" s="62"/>
      <c r="M43" s="62">
        <f>SUM(M41+M19)</f>
        <v>199193.15999999992</v>
      </c>
      <c r="O43" s="62">
        <f>O19-O41</f>
        <v>37970.33999999985</v>
      </c>
      <c r="Q43" s="62">
        <f>Q19+Q41</f>
        <v>262901.34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44316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114</v>
      </c>
      <c r="J5" s="23"/>
      <c r="K5" s="23" t="s">
        <v>104</v>
      </c>
      <c r="L5" s="23"/>
      <c r="M5" s="26" t="s">
        <v>27</v>
      </c>
      <c r="O5" s="23" t="s">
        <v>114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1033759.39+317449.53+12450</f>
        <v>1363658.92</v>
      </c>
      <c r="J8" s="4"/>
      <c r="K8" s="4">
        <f>879274.21+236479.59+17850</f>
        <v>1133603.8</v>
      </c>
      <c r="L8" s="4"/>
      <c r="M8" s="4">
        <f aca="true" t="shared" si="0" ref="M8:M14">SUM(I8-K8)</f>
        <v>230055.11999999988</v>
      </c>
      <c r="O8" s="4">
        <f>756787.48+277529.66+20837.98</f>
        <v>1055155.1199999999</v>
      </c>
      <c r="Q8" s="4">
        <f aca="true" t="shared" si="1" ref="Q8:Q14">SUM(I8-O8)</f>
        <v>308503.80000000005</v>
      </c>
      <c r="S8" s="4"/>
      <c r="U8" s="65"/>
      <c r="X8" s="4"/>
    </row>
    <row r="9" spans="4:24" ht="12.75">
      <c r="D9" t="s">
        <v>2</v>
      </c>
      <c r="G9" s="4"/>
      <c r="I9" s="4">
        <v>15650.18</v>
      </c>
      <c r="J9" s="4"/>
      <c r="K9" s="4">
        <v>30192.23</v>
      </c>
      <c r="L9" s="4"/>
      <c r="M9" s="4">
        <f t="shared" si="0"/>
        <v>-14542.05</v>
      </c>
      <c r="O9" s="4">
        <v>27744.34</v>
      </c>
      <c r="Q9" s="4">
        <f t="shared" si="1"/>
        <v>-12094.16</v>
      </c>
      <c r="S9" s="4"/>
      <c r="U9" s="65"/>
      <c r="X9" s="4"/>
    </row>
    <row r="10" spans="4:24" ht="12.75">
      <c r="D10" t="s">
        <v>3</v>
      </c>
      <c r="G10" s="4"/>
      <c r="I10" s="4">
        <v>52978.76</v>
      </c>
      <c r="J10" s="4"/>
      <c r="K10" s="4">
        <v>72683.65</v>
      </c>
      <c r="L10" s="4"/>
      <c r="M10" s="4">
        <f t="shared" si="0"/>
        <v>-19704.889999999992</v>
      </c>
      <c r="O10" s="4">
        <v>77274.31</v>
      </c>
      <c r="Q10" s="4">
        <f t="shared" si="1"/>
        <v>-24295.549999999996</v>
      </c>
      <c r="S10" s="4"/>
      <c r="U10" s="65"/>
      <c r="X10" s="4"/>
    </row>
    <row r="11" spans="4:24" ht="12.75">
      <c r="D11" t="s">
        <v>31</v>
      </c>
      <c r="G11" s="4"/>
      <c r="I11" s="4">
        <f>10392.28+40075</f>
        <v>50467.28</v>
      </c>
      <c r="J11" s="4"/>
      <c r="K11" s="4">
        <f>13936.61+42883</f>
        <v>56819.61</v>
      </c>
      <c r="L11" s="4"/>
      <c r="M11" s="4">
        <f t="shared" si="0"/>
        <v>-6352.330000000002</v>
      </c>
      <c r="O11" s="4">
        <f>5652.09+46038</f>
        <v>51690.09</v>
      </c>
      <c r="Q11" s="4">
        <f t="shared" si="1"/>
        <v>-1222.8099999999977</v>
      </c>
      <c r="S11" s="4"/>
      <c r="U11" s="65"/>
      <c r="X11" s="4"/>
    </row>
    <row r="12" spans="4:24" ht="12.75">
      <c r="D12" t="s">
        <v>30</v>
      </c>
      <c r="G12" s="4"/>
      <c r="I12" s="4">
        <v>3594.04</v>
      </c>
      <c r="J12" s="4"/>
      <c r="K12" s="4">
        <v>3678.22</v>
      </c>
      <c r="L12" s="4"/>
      <c r="M12" s="4">
        <f t="shared" si="0"/>
        <v>-84.17999999999984</v>
      </c>
      <c r="O12" s="4">
        <v>3776.75</v>
      </c>
      <c r="Q12" s="4">
        <f t="shared" si="1"/>
        <v>-182.71000000000004</v>
      </c>
      <c r="S12" s="4"/>
      <c r="U12" s="65"/>
      <c r="X12" s="4"/>
    </row>
    <row r="13" spans="4:24" ht="12.75">
      <c r="D13" t="s">
        <v>29</v>
      </c>
      <c r="G13" s="4"/>
      <c r="I13" s="4">
        <f>343.12+7340.53</f>
        <v>7683.65</v>
      </c>
      <c r="J13" s="4"/>
      <c r="K13" s="4">
        <v>7916.73</v>
      </c>
      <c r="L13" s="4"/>
      <c r="M13" s="4">
        <f t="shared" si="0"/>
        <v>-233.07999999999993</v>
      </c>
      <c r="O13" s="4">
        <v>128002.44</v>
      </c>
      <c r="Q13" s="4">
        <f t="shared" si="1"/>
        <v>-120318.79000000001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1494032.8299999998</v>
      </c>
      <c r="J16" s="5"/>
      <c r="K16" s="5">
        <f>SUM(K8:K14)</f>
        <v>1304894.24</v>
      </c>
      <c r="L16" s="5"/>
      <c r="M16" s="5">
        <f>SUM(M8:M14)</f>
        <v>189138.58999999994</v>
      </c>
      <c r="N16" s="5"/>
      <c r="O16" s="5">
        <f>SUM(O8:O14)</f>
        <v>1343643.05</v>
      </c>
      <c r="Q16" s="5">
        <f>SUM(Q8:Q14)</f>
        <v>150389.78000000006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1494032.8299999998</v>
      </c>
      <c r="J19" s="61"/>
      <c r="K19" s="61">
        <f>K16</f>
        <v>1304894.24</v>
      </c>
      <c r="L19" s="61"/>
      <c r="M19" s="61">
        <f>M16</f>
        <v>189138.58999999994</v>
      </c>
      <c r="O19" s="61">
        <f>O16</f>
        <v>1343643.05</v>
      </c>
      <c r="Q19" s="62">
        <f>SUM(I19-O19)</f>
        <v>150389.7799999998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158250</v>
      </c>
      <c r="J23" s="4"/>
      <c r="K23" s="4">
        <v>153416.3</v>
      </c>
      <c r="L23" s="4"/>
      <c r="M23" s="4">
        <f aca="true" t="shared" si="2" ref="M23:M29">SUM(K23-I23)</f>
        <v>-4833.700000000012</v>
      </c>
      <c r="O23" s="4">
        <v>160310</v>
      </c>
      <c r="Q23" s="4">
        <f aca="true" t="shared" si="3" ref="Q23:Q29">SUM(O23-I23)</f>
        <v>2060</v>
      </c>
      <c r="S23" s="4"/>
      <c r="U23" s="65"/>
      <c r="X23" s="4"/>
    </row>
    <row r="24" spans="3:24" ht="12.75">
      <c r="C24" t="s">
        <v>9</v>
      </c>
      <c r="G24" s="4"/>
      <c r="I24" s="4">
        <f>56173+292031.81+2235+51016.1+49156.02</f>
        <v>450611.93</v>
      </c>
      <c r="J24" s="4"/>
      <c r="K24" s="4">
        <f>52424.66+383301.39+2013.3+45959.2+57564.32</f>
        <v>541262.87</v>
      </c>
      <c r="L24" s="4"/>
      <c r="M24" s="4">
        <f t="shared" si="2"/>
        <v>90650.94</v>
      </c>
      <c r="O24" s="4">
        <f>58905.03+338817.31+2214.63+50555.12+65280.25</f>
        <v>515772.33999999997</v>
      </c>
      <c r="Q24" s="4">
        <f t="shared" si="3"/>
        <v>65160.409999999974</v>
      </c>
      <c r="S24" s="4"/>
      <c r="U24" s="65"/>
      <c r="X24" s="4"/>
    </row>
    <row r="25" spans="3:24" ht="12.75">
      <c r="C25" s="3" t="s">
        <v>106</v>
      </c>
      <c r="G25" s="4"/>
      <c r="I25" s="4">
        <v>106673.13</v>
      </c>
      <c r="J25" s="4"/>
      <c r="K25" s="4">
        <v>124068.96</v>
      </c>
      <c r="L25" s="4"/>
      <c r="M25" s="4">
        <f t="shared" si="2"/>
        <v>17395.83</v>
      </c>
      <c r="O25" s="4">
        <v>111885.54</v>
      </c>
      <c r="Q25" s="4">
        <f t="shared" si="3"/>
        <v>5212.409999999989</v>
      </c>
      <c r="S25" s="4"/>
      <c r="U25" s="65"/>
      <c r="X25" s="4"/>
    </row>
    <row r="26" spans="3:24" ht="12.75">
      <c r="C26" t="s">
        <v>33</v>
      </c>
      <c r="G26" s="4"/>
      <c r="I26" s="4">
        <f>95124.02+18846.15+5780.66+10521.46</f>
        <v>130272.29000000001</v>
      </c>
      <c r="J26" s="4" t="s">
        <v>18</v>
      </c>
      <c r="K26" s="4">
        <f>39010.48+28282.06+5788.21+19914.06</f>
        <v>92994.81000000001</v>
      </c>
      <c r="L26" s="4"/>
      <c r="M26" s="4">
        <f t="shared" si="2"/>
        <v>-37277.479999999996</v>
      </c>
      <c r="O26" s="4">
        <f>82273.66+31154.44+6457.94+28662.36</f>
        <v>148548.40000000002</v>
      </c>
      <c r="Q26" s="4">
        <f t="shared" si="3"/>
        <v>18276.110000000015</v>
      </c>
      <c r="S26" s="4"/>
      <c r="U26" s="65"/>
      <c r="X26" s="4"/>
    </row>
    <row r="27" spans="3:24" ht="12.75">
      <c r="C27" t="s">
        <v>10</v>
      </c>
      <c r="G27" s="4"/>
      <c r="I27" s="4">
        <v>34714.09</v>
      </c>
      <c r="J27" s="4"/>
      <c r="K27" s="4">
        <v>58311.66</v>
      </c>
      <c r="L27" s="4"/>
      <c r="M27" s="4">
        <f t="shared" si="2"/>
        <v>23597.570000000007</v>
      </c>
      <c r="O27" s="4">
        <v>98627.16</v>
      </c>
      <c r="Q27" s="4">
        <f t="shared" si="3"/>
        <v>63913.07000000001</v>
      </c>
      <c r="S27" s="4"/>
      <c r="U27" s="65"/>
      <c r="X27" s="4"/>
    </row>
    <row r="28" spans="3:24" ht="12.75">
      <c r="C28" t="s">
        <v>11</v>
      </c>
      <c r="G28" s="4"/>
      <c r="I28" s="4">
        <v>8201.38</v>
      </c>
      <c r="J28" s="4"/>
      <c r="K28" s="4">
        <v>10837.99</v>
      </c>
      <c r="L28" s="4"/>
      <c r="M28" s="4">
        <f t="shared" si="2"/>
        <v>2636.6100000000006</v>
      </c>
      <c r="O28" s="4">
        <v>14006.73</v>
      </c>
      <c r="Q28" s="4">
        <f t="shared" si="3"/>
        <v>5805.35</v>
      </c>
      <c r="S28" s="4"/>
      <c r="U28" s="65"/>
      <c r="X28" s="4"/>
    </row>
    <row r="29" spans="3:24" ht="12.75">
      <c r="C29" s="3" t="s">
        <v>40</v>
      </c>
      <c r="G29" s="4"/>
      <c r="I29" s="4">
        <f>78087.77+5874.2+10202.49</f>
        <v>94164.46</v>
      </c>
      <c r="J29" s="4"/>
      <c r="K29" s="4">
        <f>61880.11+3694.9+13962.47</f>
        <v>79537.48</v>
      </c>
      <c r="L29" s="4"/>
      <c r="M29" s="4">
        <f t="shared" si="2"/>
        <v>-14626.98000000001</v>
      </c>
      <c r="O29" s="4">
        <f>101494.17+4700.11+15989.34</f>
        <v>122183.62</v>
      </c>
      <c r="Q29" s="4">
        <f t="shared" si="3"/>
        <v>28019.15999999999</v>
      </c>
      <c r="S29" s="4"/>
      <c r="U29" s="65"/>
      <c r="X29" s="4"/>
    </row>
    <row r="30" spans="3:24" ht="12.75">
      <c r="C30" s="47" t="s">
        <v>41</v>
      </c>
      <c r="G30" s="4"/>
      <c r="I30" s="4">
        <f>28183.55+11051.24+23922.94</f>
        <v>63157.729999999996</v>
      </c>
      <c r="J30" s="4"/>
      <c r="K30" s="4">
        <f>29859.47+11048.86+25432.52</f>
        <v>66340.85</v>
      </c>
      <c r="L30" s="4"/>
      <c r="M30" s="4">
        <f>SUM(K30-I30)</f>
        <v>3183.12000000001</v>
      </c>
      <c r="O30" s="4">
        <f>34843.36+11607.84+31935.2</f>
        <v>78386.4</v>
      </c>
      <c r="Q30" s="4">
        <f>SUM(O30-I30)</f>
        <v>15228.669999999998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25047</v>
      </c>
      <c r="L32" s="39"/>
      <c r="M32" s="4">
        <f>SUM(K32-I32)</f>
        <v>25047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1046045.0099999999</v>
      </c>
      <c r="J34" s="5"/>
      <c r="K34" s="5">
        <f>SUM(K23:K32)</f>
        <v>1151817.9200000002</v>
      </c>
      <c r="L34" s="5"/>
      <c r="M34" s="5">
        <f>SUM(M23:M32)</f>
        <v>105772.91</v>
      </c>
      <c r="N34" s="4"/>
      <c r="O34" s="5">
        <f>SUM(O23:O32)</f>
        <v>1249720.19</v>
      </c>
      <c r="Q34" s="5">
        <f>SUM(Q23:Q32)</f>
        <v>203675.18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131000</v>
      </c>
      <c r="J37" s="4"/>
      <c r="K37" s="4">
        <v>124000</v>
      </c>
      <c r="L37" s="4"/>
      <c r="M37" s="4">
        <f>SUM(K37-I37)</f>
        <v>-7000</v>
      </c>
      <c r="O37" s="4">
        <v>135000</v>
      </c>
      <c r="Q37" s="4">
        <f>SUM(O37-I37)</f>
        <v>4000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131000</v>
      </c>
      <c r="J39" s="5"/>
      <c r="K39" s="5">
        <f>SUM(K37:K37)</f>
        <v>124000</v>
      </c>
      <c r="L39" s="5"/>
      <c r="M39" s="4">
        <f>SUM(K39-I39)</f>
        <v>-7000</v>
      </c>
      <c r="N39" s="5"/>
      <c r="O39" s="5">
        <f>SUM(O37:O37)</f>
        <v>135000</v>
      </c>
      <c r="Q39" s="4">
        <f>SUM(O39-I39)</f>
        <v>4000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1177045.0099999998</v>
      </c>
      <c r="J41" s="61"/>
      <c r="K41" s="61">
        <f>K34+K39</f>
        <v>1275817.9200000002</v>
      </c>
      <c r="L41" s="61"/>
      <c r="M41" s="61">
        <f>M34+M39</f>
        <v>98772.91</v>
      </c>
      <c r="O41" s="61">
        <f>O34+O39</f>
        <v>1384720.19</v>
      </c>
      <c r="Q41" s="61">
        <f>Q34+Q39</f>
        <v>207675.18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316987.82000000007</v>
      </c>
      <c r="J43" s="62"/>
      <c r="K43" s="62">
        <f>K19-K41</f>
        <v>29076.319999999832</v>
      </c>
      <c r="L43" s="62"/>
      <c r="M43" s="62">
        <f>SUM(M41+M19)</f>
        <v>287911.49999999994</v>
      </c>
      <c r="O43" s="62">
        <f>O19-O41</f>
        <v>-41077.1399999999</v>
      </c>
      <c r="Q43" s="62">
        <f>Q19+Q41</f>
        <v>358064.9599999998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31">
      <selection activeCell="O2" sqref="O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44377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115</v>
      </c>
      <c r="J5" s="23"/>
      <c r="K5" s="23" t="s">
        <v>105</v>
      </c>
      <c r="L5" s="23"/>
      <c r="M5" s="26" t="s">
        <v>27</v>
      </c>
      <c r="O5" s="23" t="s">
        <v>115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1223286.33+342363.98+14890</f>
        <v>1580540.31</v>
      </c>
      <c r="J8" s="4"/>
      <c r="K8" s="4">
        <f>1031305.39+258506.44+18950</f>
        <v>1308761.83</v>
      </c>
      <c r="L8" s="4"/>
      <c r="M8" s="4">
        <f aca="true" t="shared" si="0" ref="M8:M14">SUM(I8-K8)</f>
        <v>271778.48</v>
      </c>
      <c r="O8" s="4">
        <f>886556.98+299973.32+22134</f>
        <v>1208664.3</v>
      </c>
      <c r="Q8" s="4">
        <f aca="true" t="shared" si="1" ref="Q8:Q14">SUM(I8-O8)</f>
        <v>371876.01</v>
      </c>
      <c r="S8" s="4"/>
      <c r="U8" s="65"/>
      <c r="X8" s="4"/>
    </row>
    <row r="9" spans="4:24" ht="12.75">
      <c r="D9" t="s">
        <v>2</v>
      </c>
      <c r="G9" s="4"/>
      <c r="I9" s="4">
        <v>50424.42</v>
      </c>
      <c r="J9" s="4"/>
      <c r="K9" s="4">
        <v>44899.22</v>
      </c>
      <c r="L9" s="4"/>
      <c r="M9" s="4">
        <f t="shared" si="0"/>
        <v>5525.199999999997</v>
      </c>
      <c r="O9" s="4">
        <v>49341.72</v>
      </c>
      <c r="Q9" s="4">
        <f t="shared" si="1"/>
        <v>1082.699999999997</v>
      </c>
      <c r="S9" s="4"/>
      <c r="U9" s="65"/>
      <c r="X9" s="4"/>
    </row>
    <row r="10" spans="4:24" ht="12.75">
      <c r="D10" t="s">
        <v>3</v>
      </c>
      <c r="G10" s="4"/>
      <c r="I10" s="4">
        <v>54189.76</v>
      </c>
      <c r="J10" s="4"/>
      <c r="K10" s="4">
        <v>72856.68</v>
      </c>
      <c r="L10" s="4"/>
      <c r="M10" s="4">
        <f t="shared" si="0"/>
        <v>-18666.91999999999</v>
      </c>
      <c r="O10" s="4">
        <v>82470.5</v>
      </c>
      <c r="Q10" s="4">
        <f t="shared" si="1"/>
        <v>-28280.739999999998</v>
      </c>
      <c r="S10" s="4"/>
      <c r="U10" s="65"/>
      <c r="X10" s="4"/>
    </row>
    <row r="11" spans="4:24" ht="12.75">
      <c r="D11" t="s">
        <v>31</v>
      </c>
      <c r="G11" s="4"/>
      <c r="I11" s="4">
        <f>10632.71+47625</f>
        <v>58257.71</v>
      </c>
      <c r="J11" s="4"/>
      <c r="K11" s="4">
        <f>21620.96+54883</f>
        <v>76503.95999999999</v>
      </c>
      <c r="L11" s="4"/>
      <c r="M11" s="4">
        <f t="shared" si="0"/>
        <v>-18246.249999999993</v>
      </c>
      <c r="O11" s="4">
        <f>6782.51+58038</f>
        <v>64820.51</v>
      </c>
      <c r="Q11" s="4">
        <f t="shared" si="1"/>
        <v>-6562.800000000003</v>
      </c>
      <c r="S11" s="4"/>
      <c r="U11" s="65"/>
      <c r="X11" s="4"/>
    </row>
    <row r="12" spans="4:24" ht="12.75">
      <c r="D12" t="s">
        <v>30</v>
      </c>
      <c r="G12" s="4"/>
      <c r="I12" s="4">
        <v>8246.12</v>
      </c>
      <c r="J12" s="4"/>
      <c r="K12" s="4">
        <v>12392.86</v>
      </c>
      <c r="L12" s="4"/>
      <c r="M12" s="4">
        <f t="shared" si="0"/>
        <v>-4146.74</v>
      </c>
      <c r="O12" s="4">
        <v>12520.67</v>
      </c>
      <c r="Q12" s="4">
        <f t="shared" si="1"/>
        <v>-4274.549999999999</v>
      </c>
      <c r="S12" s="4"/>
      <c r="U12" s="65"/>
      <c r="X12" s="4"/>
    </row>
    <row r="13" spans="4:24" ht="12.75">
      <c r="D13" t="s">
        <v>29</v>
      </c>
      <c r="G13" s="4"/>
      <c r="I13" s="4">
        <f>343.21+154746.88</f>
        <v>155090.09</v>
      </c>
      <c r="J13" s="4"/>
      <c r="K13" s="4">
        <v>35383.51</v>
      </c>
      <c r="L13" s="4"/>
      <c r="M13" s="4">
        <f t="shared" si="0"/>
        <v>119706.57999999999</v>
      </c>
      <c r="O13" s="4">
        <v>156929</v>
      </c>
      <c r="Q13" s="4">
        <f t="shared" si="1"/>
        <v>-1838.9100000000035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1906748.4100000001</v>
      </c>
      <c r="J16" s="5"/>
      <c r="K16" s="5">
        <f>SUM(K8:K14)</f>
        <v>1550798.06</v>
      </c>
      <c r="L16" s="5"/>
      <c r="M16" s="5">
        <f>SUM(M8:M14)</f>
        <v>355950.35</v>
      </c>
      <c r="N16" s="5"/>
      <c r="O16" s="5">
        <f>SUM(O8:O14)</f>
        <v>1574746.7</v>
      </c>
      <c r="Q16" s="5">
        <f>SUM(Q8:Q14)</f>
        <v>332001.7100000001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1906748.4100000001</v>
      </c>
      <c r="J19" s="61"/>
      <c r="K19" s="61">
        <f>K16</f>
        <v>1550798.06</v>
      </c>
      <c r="L19" s="61"/>
      <c r="M19" s="61">
        <f>M16</f>
        <v>355950.35</v>
      </c>
      <c r="O19" s="61">
        <f>O16</f>
        <v>1574746.7</v>
      </c>
      <c r="Q19" s="62">
        <f>SUM(I19-O19)</f>
        <v>332001.7100000002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189900</v>
      </c>
      <c r="J23" s="4"/>
      <c r="K23" s="4">
        <v>184099.56</v>
      </c>
      <c r="L23" s="4"/>
      <c r="M23" s="4">
        <f aca="true" t="shared" si="2" ref="M23:M29">SUM(K23-I23)</f>
        <v>-5800.440000000002</v>
      </c>
      <c r="O23" s="4">
        <v>192372</v>
      </c>
      <c r="Q23" s="4">
        <f aca="true" t="shared" si="3" ref="Q23:Q29">SUM(O23-I23)</f>
        <v>2472</v>
      </c>
      <c r="S23" s="4"/>
      <c r="U23" s="65"/>
      <c r="X23" s="4"/>
    </row>
    <row r="24" spans="3:24" ht="12.75">
      <c r="C24" t="s">
        <v>9</v>
      </c>
      <c r="G24" s="4"/>
      <c r="I24" s="4">
        <f>67115.62+340063.14+2682+61219.32+51521.91</f>
        <v>522601.99</v>
      </c>
      <c r="J24" s="4"/>
      <c r="K24" s="4">
        <f>58751.08+437453.43+2415.96+55151.04+59871.12</f>
        <v>613642.63</v>
      </c>
      <c r="L24" s="4"/>
      <c r="M24" s="4">
        <f t="shared" si="2"/>
        <v>91040.64000000001</v>
      </c>
      <c r="O24" s="4">
        <f>65773+386751+2657.56+60666.14+67617.65</f>
        <v>583465.35</v>
      </c>
      <c r="Q24" s="4">
        <f t="shared" si="3"/>
        <v>60863.359999999986</v>
      </c>
      <c r="S24" s="4"/>
      <c r="U24" s="65"/>
      <c r="X24" s="4"/>
    </row>
    <row r="25" spans="3:24" ht="12.75">
      <c r="C25" s="3" t="s">
        <v>106</v>
      </c>
      <c r="G25" s="4"/>
      <c r="I25" s="4">
        <v>122763.99</v>
      </c>
      <c r="J25" s="4"/>
      <c r="K25" s="4">
        <v>144193.37</v>
      </c>
      <c r="L25" s="4"/>
      <c r="M25" s="4">
        <f t="shared" si="2"/>
        <v>21429.37999999999</v>
      </c>
      <c r="O25" s="4">
        <v>129676.23</v>
      </c>
      <c r="Q25" s="4">
        <f t="shared" si="3"/>
        <v>6912.239999999991</v>
      </c>
      <c r="S25" s="4"/>
      <c r="U25" s="65"/>
      <c r="X25" s="4"/>
    </row>
    <row r="26" spans="3:24" ht="12.75">
      <c r="C26" t="s">
        <v>33</v>
      </c>
      <c r="G26" s="4"/>
      <c r="I26" s="4">
        <f>116003.35+19435.77+6843.66+13412.36</f>
        <v>155695.14</v>
      </c>
      <c r="J26" s="4" t="s">
        <v>18</v>
      </c>
      <c r="K26" s="4">
        <f>62070.04+29697.55+7037.43+20968.88</f>
        <v>119773.9</v>
      </c>
      <c r="L26" s="4"/>
      <c r="M26" s="4">
        <f t="shared" si="2"/>
        <v>-35921.24000000002</v>
      </c>
      <c r="O26" s="4">
        <f>116810.22+32453.21+7218.02+30115.17</f>
        <v>186596.62</v>
      </c>
      <c r="Q26" s="4">
        <f t="shared" si="3"/>
        <v>30901.47999999998</v>
      </c>
      <c r="S26" s="4"/>
      <c r="U26" s="65"/>
      <c r="X26" s="4"/>
    </row>
    <row r="27" spans="3:24" ht="12.75">
      <c r="C27" t="s">
        <v>10</v>
      </c>
      <c r="G27" s="4"/>
      <c r="I27" s="4">
        <v>40800.4</v>
      </c>
      <c r="J27" s="4"/>
      <c r="K27" s="4">
        <v>60371.82</v>
      </c>
      <c r="L27" s="4"/>
      <c r="M27" s="4">
        <f t="shared" si="2"/>
        <v>19571.42</v>
      </c>
      <c r="O27" s="4">
        <v>101746.45</v>
      </c>
      <c r="Q27" s="4">
        <f t="shared" si="3"/>
        <v>60946.049999999996</v>
      </c>
      <c r="S27" s="4"/>
      <c r="U27" s="65"/>
      <c r="X27" s="4"/>
    </row>
    <row r="28" spans="3:24" ht="12.75">
      <c r="C28" t="s">
        <v>11</v>
      </c>
      <c r="G28" s="4"/>
      <c r="I28" s="4">
        <v>9635.48</v>
      </c>
      <c r="J28" s="4"/>
      <c r="K28" s="4">
        <v>12207.79</v>
      </c>
      <c r="L28" s="4"/>
      <c r="M28" s="4">
        <f t="shared" si="2"/>
        <v>2572.3100000000013</v>
      </c>
      <c r="O28" s="4">
        <v>15740.21</v>
      </c>
      <c r="Q28" s="4">
        <f t="shared" si="3"/>
        <v>6104.73</v>
      </c>
      <c r="S28" s="4"/>
      <c r="U28" s="65"/>
      <c r="X28" s="4"/>
    </row>
    <row r="29" spans="3:24" ht="12.75">
      <c r="C29" s="3" t="s">
        <v>40</v>
      </c>
      <c r="G29" s="4"/>
      <c r="I29" s="4">
        <f>82280.04+6314.08+12082.89</f>
        <v>100677.01</v>
      </c>
      <c r="J29" s="4"/>
      <c r="K29" s="4">
        <f>71290.85+4106.35+18773.01</f>
        <v>94170.21</v>
      </c>
      <c r="L29" s="4"/>
      <c r="M29" s="4">
        <f t="shared" si="2"/>
        <v>-6506.799999999988</v>
      </c>
      <c r="O29" s="4">
        <f>116280.54+9224.29+16741.81</f>
        <v>142246.63999999998</v>
      </c>
      <c r="Q29" s="4">
        <f t="shared" si="3"/>
        <v>41569.62999999999</v>
      </c>
      <c r="S29" s="4"/>
      <c r="U29" s="65"/>
      <c r="X29" s="4"/>
    </row>
    <row r="30" spans="3:24" ht="12.75">
      <c r="C30" s="47" t="s">
        <v>41</v>
      </c>
      <c r="G30" s="4"/>
      <c r="I30" s="4">
        <f>33503.98+13694.82+27824.74</f>
        <v>75023.54000000001</v>
      </c>
      <c r="J30" s="4"/>
      <c r="K30" s="4">
        <f>31328.48+12032.57+26223.06</f>
        <v>69584.11</v>
      </c>
      <c r="L30" s="4"/>
      <c r="M30" s="4">
        <f>SUM(K30-I30)</f>
        <v>-5439.430000000008</v>
      </c>
      <c r="O30" s="4">
        <f>36417.68+12636.62+32796</f>
        <v>81850.3</v>
      </c>
      <c r="Q30" s="4">
        <f>SUM(O30-I30)</f>
        <v>6826.759999999995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25047</v>
      </c>
      <c r="L32" s="39"/>
      <c r="M32" s="4">
        <f>SUM(K32-I32)</f>
        <v>25047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1217097.55</v>
      </c>
      <c r="J34" s="5"/>
      <c r="K34" s="5">
        <f>SUM(K23:K32)</f>
        <v>1323090.3900000001</v>
      </c>
      <c r="L34" s="5"/>
      <c r="M34" s="5">
        <f>SUM(M23:M32)</f>
        <v>105992.83999999998</v>
      </c>
      <c r="N34" s="4"/>
      <c r="O34" s="5">
        <f>SUM(O23:O32)</f>
        <v>1433693.7999999998</v>
      </c>
      <c r="Q34" s="5">
        <f>SUM(Q23:Q32)</f>
        <v>216596.24999999994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131000</v>
      </c>
      <c r="J37" s="4"/>
      <c r="K37" s="4">
        <v>124000</v>
      </c>
      <c r="L37" s="4"/>
      <c r="M37" s="4">
        <f>SUM(K37-I37)</f>
        <v>-7000</v>
      </c>
      <c r="O37" s="4">
        <v>135000</v>
      </c>
      <c r="Q37" s="4">
        <f>SUM(O37-I37)</f>
        <v>4000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131000</v>
      </c>
      <c r="J39" s="5"/>
      <c r="K39" s="5">
        <f>SUM(K37:K37)</f>
        <v>124000</v>
      </c>
      <c r="L39" s="5"/>
      <c r="M39" s="4">
        <f>SUM(K39-I39)</f>
        <v>-7000</v>
      </c>
      <c r="N39" s="5"/>
      <c r="O39" s="5">
        <f>SUM(O37:O37)</f>
        <v>135000</v>
      </c>
      <c r="Q39" s="4">
        <f>SUM(O39-I39)</f>
        <v>4000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1348097.55</v>
      </c>
      <c r="J41" s="61"/>
      <c r="K41" s="61">
        <f>K34+K39</f>
        <v>1447090.3900000001</v>
      </c>
      <c r="L41" s="61"/>
      <c r="M41" s="61">
        <f>M34+M39</f>
        <v>98992.83999999998</v>
      </c>
      <c r="O41" s="61">
        <f>O34+O39</f>
        <v>1568693.7999999998</v>
      </c>
      <c r="Q41" s="61">
        <f>Q34+Q39</f>
        <v>220596.24999999994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558650.8600000001</v>
      </c>
      <c r="J43" s="62"/>
      <c r="K43" s="62">
        <f>K19-K41</f>
        <v>103707.66999999993</v>
      </c>
      <c r="L43" s="62"/>
      <c r="M43" s="62">
        <f>SUM(M41+M19)</f>
        <v>454943.18999999994</v>
      </c>
      <c r="O43" s="62">
        <f>O19-O41</f>
        <v>6052.90000000014</v>
      </c>
      <c r="Q43" s="62">
        <f>Q19+Q41</f>
        <v>552597.9600000002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S51" sqref="S5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44439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116</v>
      </c>
      <c r="J5" s="23"/>
      <c r="K5" s="23" t="s">
        <v>117</v>
      </c>
      <c r="L5" s="23"/>
      <c r="M5" s="26" t="s">
        <v>27</v>
      </c>
      <c r="O5" s="23" t="s">
        <v>116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180336.21+21032.35+4400</f>
        <v>205768.56</v>
      </c>
      <c r="J8" s="4"/>
      <c r="K8" s="4">
        <f>183872.18+52096.66+1950</f>
        <v>237918.84</v>
      </c>
      <c r="L8" s="4"/>
      <c r="M8" s="4">
        <f aca="true" t="shared" si="0" ref="M8:M14">SUM(I8-K8)</f>
        <v>-32150.28</v>
      </c>
      <c r="O8" s="4">
        <f>161305.75+38348.35+1600.7</f>
        <v>201254.80000000002</v>
      </c>
      <c r="Q8" s="4">
        <f aca="true" t="shared" si="1" ref="Q8:Q14">SUM(I8-O8)</f>
        <v>4513.75999999998</v>
      </c>
      <c r="S8" s="4"/>
      <c r="U8" s="65"/>
      <c r="X8" s="4"/>
    </row>
    <row r="9" spans="4:24" ht="12.75">
      <c r="D9" t="s">
        <v>2</v>
      </c>
      <c r="G9" s="4"/>
      <c r="I9" s="4">
        <v>12498.46</v>
      </c>
      <c r="J9" s="4"/>
      <c r="K9" s="4">
        <v>439.62</v>
      </c>
      <c r="L9" s="4"/>
      <c r="M9" s="4">
        <f t="shared" si="0"/>
        <v>12058.839999999998</v>
      </c>
      <c r="O9" s="4">
        <v>-1832.5</v>
      </c>
      <c r="Q9" s="4">
        <f t="shared" si="1"/>
        <v>14330.96</v>
      </c>
      <c r="S9" s="4"/>
      <c r="U9" s="65"/>
      <c r="X9" s="4"/>
    </row>
    <row r="10" spans="4:24" ht="12.75">
      <c r="D10" t="s">
        <v>3</v>
      </c>
      <c r="G10" s="4"/>
      <c r="I10" s="4">
        <v>34567</v>
      </c>
      <c r="J10" s="4"/>
      <c r="K10" s="4">
        <v>25426.81</v>
      </c>
      <c r="L10" s="4"/>
      <c r="M10" s="4">
        <f t="shared" si="0"/>
        <v>9140.189999999999</v>
      </c>
      <c r="O10" s="4">
        <v>32724.12</v>
      </c>
      <c r="Q10" s="4">
        <f t="shared" si="1"/>
        <v>1842.880000000001</v>
      </c>
      <c r="S10" s="4"/>
      <c r="U10" s="65"/>
      <c r="X10" s="4"/>
    </row>
    <row r="11" spans="4:24" ht="12.75">
      <c r="D11" t="s">
        <v>31</v>
      </c>
      <c r="G11" s="4"/>
      <c r="I11" s="4">
        <f>59.04+18000</f>
        <v>18059.04</v>
      </c>
      <c r="J11" s="4"/>
      <c r="K11" s="4">
        <f>576.13+8000</f>
        <v>8576.13</v>
      </c>
      <c r="L11" s="4"/>
      <c r="M11" s="4">
        <f t="shared" si="0"/>
        <v>9482.910000000002</v>
      </c>
      <c r="O11" s="4">
        <f>27.09+18833.33</f>
        <v>18860.420000000002</v>
      </c>
      <c r="Q11" s="4">
        <f t="shared" si="1"/>
        <v>-801.380000000001</v>
      </c>
      <c r="S11" s="4"/>
      <c r="U11" s="65"/>
      <c r="X11" s="4"/>
    </row>
    <row r="12" spans="4:24" ht="12.75">
      <c r="D12" t="s">
        <v>30</v>
      </c>
      <c r="G12" s="4"/>
      <c r="I12" s="4">
        <v>712.77</v>
      </c>
      <c r="J12" s="4"/>
      <c r="K12" s="4">
        <v>704.06</v>
      </c>
      <c r="L12" s="4"/>
      <c r="M12" s="4">
        <f t="shared" si="0"/>
        <v>8.710000000000036</v>
      </c>
      <c r="O12" s="4">
        <v>712.03</v>
      </c>
      <c r="Q12" s="4">
        <f t="shared" si="1"/>
        <v>0.7400000000000091</v>
      </c>
      <c r="S12" s="4"/>
      <c r="U12" s="65"/>
      <c r="X12" s="4"/>
    </row>
    <row r="13" spans="4:24" ht="12.75">
      <c r="D13" t="s">
        <v>29</v>
      </c>
      <c r="G13" s="4"/>
      <c r="I13" s="4">
        <v>1264</v>
      </c>
      <c r="J13" s="4"/>
      <c r="K13" s="4">
        <v>343.21</v>
      </c>
      <c r="L13" s="4"/>
      <c r="M13" s="4">
        <f t="shared" si="0"/>
        <v>920.79</v>
      </c>
      <c r="O13" s="4">
        <v>0</v>
      </c>
      <c r="Q13" s="4">
        <f t="shared" si="1"/>
        <v>1264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272869.83</v>
      </c>
      <c r="J16" s="5"/>
      <c r="K16" s="5">
        <f>SUM(K8:K14)</f>
        <v>273408.67000000004</v>
      </c>
      <c r="L16" s="5"/>
      <c r="M16" s="5">
        <f>SUM(M8:M14)</f>
        <v>-538.840000000002</v>
      </c>
      <c r="N16" s="5"/>
      <c r="O16" s="5">
        <f>SUM(O8:O14)</f>
        <v>251718.87000000002</v>
      </c>
      <c r="Q16" s="5">
        <f>SUM(Q8:Q14)</f>
        <v>21150.95999999998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272869.83</v>
      </c>
      <c r="J19" s="61"/>
      <c r="K19" s="61">
        <f>K16</f>
        <v>273408.67000000004</v>
      </c>
      <c r="L19" s="61"/>
      <c r="M19" s="61">
        <f>M16</f>
        <v>-538.840000000002</v>
      </c>
      <c r="O19" s="61">
        <f>O16</f>
        <v>251718.87000000002</v>
      </c>
      <c r="Q19" s="62">
        <f>SUM(I19-O19)</f>
        <v>21150.959999999992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28816.66</v>
      </c>
      <c r="J23" s="4"/>
      <c r="K23" s="4">
        <v>31650</v>
      </c>
      <c r="L23" s="4"/>
      <c r="M23" s="4">
        <f aca="true" t="shared" si="2" ref="M23:M29">SUM(K23-I23)</f>
        <v>2833.34</v>
      </c>
      <c r="O23" s="4">
        <v>29198</v>
      </c>
      <c r="Q23" s="4">
        <f aca="true" t="shared" si="3" ref="Q23:Q29">SUM(O23-I23)</f>
        <v>381.34000000000015</v>
      </c>
      <c r="S23" s="4"/>
      <c r="U23" s="65"/>
      <c r="X23" s="4"/>
    </row>
    <row r="24" spans="3:24" ht="12.75">
      <c r="C24" t="s">
        <v>9</v>
      </c>
      <c r="G24" s="4"/>
      <c r="I24" s="4">
        <f>10577.62+68814.13+469.34+11045+2055.79</f>
        <v>92961.87999999999</v>
      </c>
      <c r="J24" s="4"/>
      <c r="K24" s="4">
        <f>8336.42+69637.08+447+10203.22+1030.33</f>
        <v>89654.05</v>
      </c>
      <c r="L24" s="4"/>
      <c r="M24" s="4">
        <f t="shared" si="2"/>
        <v>-3307.829999999987</v>
      </c>
      <c r="O24" s="4">
        <f>8442.2+80572.61+491.7+11223.54+2882.17</f>
        <v>103612.21999999999</v>
      </c>
      <c r="Q24" s="4">
        <f t="shared" si="3"/>
        <v>10650.339999999997</v>
      </c>
      <c r="S24" s="4"/>
      <c r="U24" s="65"/>
      <c r="X24" s="4"/>
    </row>
    <row r="25" spans="3:24" ht="12.75">
      <c r="C25" s="3" t="s">
        <v>106</v>
      </c>
      <c r="G25" s="4"/>
      <c r="I25" s="4">
        <v>23717.07</v>
      </c>
      <c r="J25" s="4"/>
      <c r="K25" s="4">
        <v>22372.9</v>
      </c>
      <c r="L25" s="4"/>
      <c r="M25" s="4">
        <f t="shared" si="2"/>
        <v>-1344.1699999999983</v>
      </c>
      <c r="O25" s="4">
        <v>24070.68</v>
      </c>
      <c r="Q25" s="4">
        <f t="shared" si="3"/>
        <v>353.6100000000006</v>
      </c>
      <c r="S25" s="4"/>
      <c r="U25" s="65"/>
      <c r="X25" s="4"/>
    </row>
    <row r="26" spans="3:24" ht="12.75">
      <c r="C26" t="s">
        <v>33</v>
      </c>
      <c r="G26" s="4"/>
      <c r="I26" s="4">
        <f>17193.88+1502.22+871.84+1817.23</f>
        <v>21385.170000000002</v>
      </c>
      <c r="J26" s="4" t="s">
        <v>18</v>
      </c>
      <c r="K26" s="4">
        <f>18961.97+3808.09+1018.92+629.07</f>
        <v>24418.05</v>
      </c>
      <c r="L26" s="4"/>
      <c r="M26" s="4">
        <f t="shared" si="2"/>
        <v>3032.8799999999974</v>
      </c>
      <c r="O26" s="4">
        <f>20089.82+6611.99+1143.1+1142.41</f>
        <v>28987.319999999996</v>
      </c>
      <c r="Q26" s="4">
        <f t="shared" si="3"/>
        <v>7602.149999999994</v>
      </c>
      <c r="S26" s="4"/>
      <c r="U26" s="65"/>
      <c r="X26" s="4"/>
    </row>
    <row r="27" spans="3:24" ht="12.75">
      <c r="C27" t="s">
        <v>10</v>
      </c>
      <c r="G27" s="4"/>
      <c r="I27" s="4">
        <v>14050.33</v>
      </c>
      <c r="J27" s="4"/>
      <c r="K27" s="4">
        <v>16074.36</v>
      </c>
      <c r="L27" s="4"/>
      <c r="M27" s="4">
        <f t="shared" si="2"/>
        <v>2024.0300000000007</v>
      </c>
      <c r="O27" s="4">
        <v>27769.69</v>
      </c>
      <c r="Q27" s="4">
        <f t="shared" si="3"/>
        <v>13719.359999999999</v>
      </c>
      <c r="S27" s="4"/>
      <c r="U27" s="65"/>
      <c r="X27" s="4"/>
    </row>
    <row r="28" spans="3:24" ht="12.75">
      <c r="C28" t="s">
        <v>11</v>
      </c>
      <c r="G28" s="4"/>
      <c r="I28" s="4">
        <v>3524.47</v>
      </c>
      <c r="J28" s="4"/>
      <c r="K28" s="4">
        <v>1149.21</v>
      </c>
      <c r="L28" s="4"/>
      <c r="M28" s="4">
        <f t="shared" si="2"/>
        <v>-2375.2599999999998</v>
      </c>
      <c r="O28" s="4">
        <v>1830.17</v>
      </c>
      <c r="Q28" s="4">
        <f t="shared" si="3"/>
        <v>-1694.2999999999997</v>
      </c>
      <c r="S28" s="4"/>
      <c r="U28" s="65"/>
      <c r="X28" s="4"/>
    </row>
    <row r="29" spans="3:24" ht="12.75">
      <c r="C29" s="3" t="s">
        <v>40</v>
      </c>
      <c r="G29" s="4"/>
      <c r="I29" s="4">
        <f>3693.97+193.63+499.29</f>
        <v>4386.89</v>
      </c>
      <c r="J29" s="4"/>
      <c r="K29" s="4">
        <f>6141.57+222.93+845.9</f>
        <v>7210.4</v>
      </c>
      <c r="L29" s="4"/>
      <c r="M29" s="4">
        <f t="shared" si="2"/>
        <v>2823.5099999999993</v>
      </c>
      <c r="O29" s="4">
        <f>24779.53+5547.63+5777.3</f>
        <v>36104.46</v>
      </c>
      <c r="Q29" s="4">
        <f t="shared" si="3"/>
        <v>31717.57</v>
      </c>
      <c r="S29" s="4"/>
      <c r="U29" s="65"/>
      <c r="X29" s="4"/>
    </row>
    <row r="30" spans="3:24" ht="12.75">
      <c r="C30" s="47" t="s">
        <v>41</v>
      </c>
      <c r="G30" s="4"/>
      <c r="I30" s="4">
        <f>2836.71+1527.54+1252.05</f>
        <v>5616.3</v>
      </c>
      <c r="J30" s="4"/>
      <c r="K30" s="4">
        <f>5078.48+1982.91+4330.75</f>
        <v>11392.14</v>
      </c>
      <c r="L30" s="4"/>
      <c r="M30" s="4">
        <f>SUM(K30-I30)</f>
        <v>5775.839999999999</v>
      </c>
      <c r="O30" s="4">
        <f>6154.37+1861.82+5865.55</f>
        <v>13881.74</v>
      </c>
      <c r="Q30" s="4">
        <f>SUM(O30-I30)</f>
        <v>8265.439999999999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194458.77</v>
      </c>
      <c r="J34" s="5"/>
      <c r="K34" s="5">
        <f>SUM(K23:K32)</f>
        <v>203921.11</v>
      </c>
      <c r="L34" s="5"/>
      <c r="M34" s="5">
        <f>SUM(M23:M32)</f>
        <v>9462.340000000011</v>
      </c>
      <c r="N34" s="4"/>
      <c r="O34" s="5">
        <f>SUM(O23:O32)</f>
        <v>265454.27999999997</v>
      </c>
      <c r="Q34" s="5">
        <f>SUM(Q23:Q32)</f>
        <v>70995.51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0</v>
      </c>
      <c r="J39" s="5"/>
      <c r="K39" s="5">
        <f>SUM(K37:K37)</f>
        <v>0</v>
      </c>
      <c r="L39" s="5"/>
      <c r="M39" s="4">
        <f>SUM(K39-I39)</f>
        <v>0</v>
      </c>
      <c r="N39" s="5"/>
      <c r="O39" s="5">
        <f>SUM(O37:O37)</f>
        <v>0</v>
      </c>
      <c r="Q39" s="4">
        <f>SUM(O39-I39)</f>
        <v>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194458.77</v>
      </c>
      <c r="J41" s="61"/>
      <c r="K41" s="61">
        <f>K34+K39</f>
        <v>203921.11</v>
      </c>
      <c r="L41" s="61"/>
      <c r="M41" s="61">
        <f>M34+M39</f>
        <v>9462.340000000011</v>
      </c>
      <c r="O41" s="61">
        <f>O34+O39</f>
        <v>265454.27999999997</v>
      </c>
      <c r="Q41" s="61">
        <f>Q34+Q39</f>
        <v>70995.51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78411.06000000003</v>
      </c>
      <c r="J43" s="62"/>
      <c r="K43" s="62">
        <f>K19-K41</f>
        <v>69487.56000000006</v>
      </c>
      <c r="L43" s="62"/>
      <c r="M43" s="62">
        <f>SUM(M41+M19)</f>
        <v>8923.50000000001</v>
      </c>
      <c r="O43" s="62">
        <f>O19-O41</f>
        <v>-13735.409999999945</v>
      </c>
      <c r="Q43" s="62">
        <f>Q19+Q41</f>
        <v>92146.46999999999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4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44500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129</v>
      </c>
      <c r="J5" s="23"/>
      <c r="K5" s="23" t="s">
        <v>130</v>
      </c>
      <c r="L5" s="23"/>
      <c r="M5" s="26" t="s">
        <v>27</v>
      </c>
      <c r="O5" s="23" t="s">
        <v>129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360777.33+37823.01+8050</f>
        <v>406650.34</v>
      </c>
      <c r="J8" s="4"/>
      <c r="K8" s="4">
        <f>333767.03+116586.74+4050</f>
        <v>454403.77</v>
      </c>
      <c r="L8" s="4"/>
      <c r="M8" s="4">
        <f aca="true" t="shared" si="0" ref="M8:M14">SUM(I8-K8)</f>
        <v>-47753.42999999999</v>
      </c>
      <c r="O8" s="4">
        <f>293158.47+84663.33+3314.36</f>
        <v>381136.16</v>
      </c>
      <c r="Q8" s="4">
        <f aca="true" t="shared" si="1" ref="Q8:Q14">SUM(I8-O8)</f>
        <v>25514.18000000005</v>
      </c>
      <c r="S8" s="4"/>
      <c r="U8" s="65"/>
      <c r="X8" s="4"/>
    </row>
    <row r="9" spans="4:24" ht="12.75">
      <c r="D9" t="s">
        <v>2</v>
      </c>
      <c r="G9" s="4"/>
      <c r="I9" s="4">
        <v>19792.29</v>
      </c>
      <c r="J9" s="4"/>
      <c r="K9" s="4">
        <v>-19472.45</v>
      </c>
      <c r="L9" s="4"/>
      <c r="M9" s="4">
        <f t="shared" si="0"/>
        <v>39264.740000000005</v>
      </c>
      <c r="O9" s="4">
        <v>4994.87</v>
      </c>
      <c r="Q9" s="4">
        <f t="shared" si="1"/>
        <v>14797.420000000002</v>
      </c>
      <c r="S9" s="4"/>
      <c r="U9" s="65"/>
      <c r="X9" s="4"/>
    </row>
    <row r="10" spans="4:24" ht="12.75">
      <c r="D10" t="s">
        <v>3</v>
      </c>
      <c r="G10" s="4"/>
      <c r="I10" s="4">
        <v>49864.52</v>
      </c>
      <c r="J10" s="4"/>
      <c r="K10" s="4">
        <v>47265.34</v>
      </c>
      <c r="L10" s="4"/>
      <c r="M10" s="4">
        <f t="shared" si="0"/>
        <v>2599.1800000000003</v>
      </c>
      <c r="O10" s="4">
        <v>59805.72</v>
      </c>
      <c r="Q10" s="4">
        <f t="shared" si="1"/>
        <v>-9941.200000000004</v>
      </c>
      <c r="S10" s="4"/>
      <c r="U10" s="65"/>
      <c r="X10" s="4"/>
    </row>
    <row r="11" spans="4:24" ht="12.75">
      <c r="D11" t="s">
        <v>31</v>
      </c>
      <c r="G11" s="4"/>
      <c r="I11" s="4">
        <f>217.11+37677</f>
        <v>37894.11</v>
      </c>
      <c r="J11" s="4"/>
      <c r="K11" s="4">
        <f>4866.44+16000</f>
        <v>20866.44</v>
      </c>
      <c r="L11" s="4"/>
      <c r="M11" s="4">
        <f t="shared" si="0"/>
        <v>17027.670000000002</v>
      </c>
      <c r="O11" s="4">
        <f>228.84+37666.65</f>
        <v>37895.49</v>
      </c>
      <c r="Q11" s="4">
        <f t="shared" si="1"/>
        <v>-1.3799999999973807</v>
      </c>
      <c r="S11" s="4"/>
      <c r="U11" s="65"/>
      <c r="X11" s="4"/>
    </row>
    <row r="12" spans="4:24" ht="12.75">
      <c r="D12" t="s">
        <v>30</v>
      </c>
      <c r="G12" s="4"/>
      <c r="I12" s="4">
        <v>1398.02</v>
      </c>
      <c r="J12" s="4"/>
      <c r="K12" s="4">
        <v>1399.17</v>
      </c>
      <c r="L12" s="4"/>
      <c r="M12" s="4">
        <f t="shared" si="0"/>
        <v>-1.150000000000091</v>
      </c>
      <c r="O12" s="4">
        <v>1399.58</v>
      </c>
      <c r="Q12" s="4">
        <f t="shared" si="1"/>
        <v>-1.5599999999999454</v>
      </c>
      <c r="S12" s="4"/>
      <c r="U12" s="65"/>
      <c r="X12" s="4"/>
    </row>
    <row r="13" spans="4:24" ht="12.75">
      <c r="D13" t="s">
        <v>29</v>
      </c>
      <c r="G13" s="4"/>
      <c r="I13" s="4">
        <v>2268.79</v>
      </c>
      <c r="J13" s="4"/>
      <c r="K13" s="4">
        <f>343.21+2535.87</f>
        <v>2879.08</v>
      </c>
      <c r="L13" s="4"/>
      <c r="M13" s="4">
        <f t="shared" si="0"/>
        <v>-610.29</v>
      </c>
      <c r="O13" s="4">
        <v>2342.58</v>
      </c>
      <c r="Q13" s="4">
        <f t="shared" si="1"/>
        <v>-73.78999999999996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517868.07</v>
      </c>
      <c r="J16" s="5"/>
      <c r="K16" s="5">
        <f>SUM(K8:K14)</f>
        <v>507341.35000000003</v>
      </c>
      <c r="L16" s="5"/>
      <c r="M16" s="5">
        <f>SUM(M8:M14)</f>
        <v>10526.720000000016</v>
      </c>
      <c r="N16" s="5"/>
      <c r="O16" s="5">
        <f>SUM(O8:O14)</f>
        <v>487574.4</v>
      </c>
      <c r="Q16" s="5">
        <f>SUM(Q8:Q14)</f>
        <v>30293.670000000046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517868.07</v>
      </c>
      <c r="J19" s="61"/>
      <c r="K19" s="61">
        <f>K16</f>
        <v>507341.35000000003</v>
      </c>
      <c r="L19" s="61"/>
      <c r="M19" s="61">
        <f>M16</f>
        <v>10526.720000000016</v>
      </c>
      <c r="O19" s="61">
        <f>O16</f>
        <v>487574.4</v>
      </c>
      <c r="Q19" s="62">
        <f>SUM(I19-O19)</f>
        <v>30293.669999999984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57633.32</v>
      </c>
      <c r="J23" s="4"/>
      <c r="K23" s="4">
        <v>63300</v>
      </c>
      <c r="L23" s="4"/>
      <c r="M23" s="4">
        <f aca="true" t="shared" si="2" ref="M23:M29">SUM(K23-I23)</f>
        <v>5666.68</v>
      </c>
      <c r="O23" s="4">
        <v>58396</v>
      </c>
      <c r="Q23" s="4">
        <f aca="true" t="shared" si="3" ref="Q23:Q29">SUM(O23-I23)</f>
        <v>762.6800000000003</v>
      </c>
      <c r="S23" s="4"/>
      <c r="U23" s="65"/>
      <c r="X23" s="4"/>
    </row>
    <row r="24" spans="3:24" ht="12.75">
      <c r="C24" t="s">
        <v>9</v>
      </c>
      <c r="G24" s="4"/>
      <c r="I24" s="4">
        <f>22434.24+121704.83+938.68+22090+12786.01</f>
        <v>179953.76</v>
      </c>
      <c r="J24" s="4"/>
      <c r="K24" s="4">
        <f>22712.2+124734.22+894+20406.44+12091.98</f>
        <v>180838.84000000003</v>
      </c>
      <c r="L24" s="4"/>
      <c r="M24" s="4">
        <f t="shared" si="2"/>
        <v>885.0800000000163</v>
      </c>
      <c r="O24" s="4">
        <f>18487.62+144475.17+983.4+22447.08+16761.41</f>
        <v>203154.68000000002</v>
      </c>
      <c r="Q24" s="4">
        <f t="shared" si="3"/>
        <v>23200.920000000013</v>
      </c>
      <c r="S24" s="4"/>
      <c r="U24" s="65"/>
      <c r="X24" s="4"/>
    </row>
    <row r="25" spans="3:24" ht="12.75">
      <c r="C25" s="3" t="s">
        <v>106</v>
      </c>
      <c r="G25" s="4"/>
      <c r="I25" s="4">
        <v>41024.93</v>
      </c>
      <c r="J25" s="4"/>
      <c r="K25" s="4">
        <v>41016.01</v>
      </c>
      <c r="L25" s="4"/>
      <c r="M25" s="4">
        <f t="shared" si="2"/>
        <v>-8.919999999998254</v>
      </c>
      <c r="O25" s="4">
        <v>43975.81</v>
      </c>
      <c r="Q25" s="4">
        <f t="shared" si="3"/>
        <v>2950.8799999999974</v>
      </c>
      <c r="S25" s="4"/>
      <c r="U25" s="65"/>
      <c r="X25" s="4"/>
    </row>
    <row r="26" spans="3:24" ht="12.75">
      <c r="C26" t="s">
        <v>33</v>
      </c>
      <c r="G26" s="4"/>
      <c r="I26" s="4">
        <f>36673.54+3550.9+2157.91+4795.11</f>
        <v>47177.46000000001</v>
      </c>
      <c r="J26" s="4" t="s">
        <v>18</v>
      </c>
      <c r="K26" s="4">
        <f>36845.96+6846.99+2294+1223.66</f>
        <v>47210.61</v>
      </c>
      <c r="L26" s="4"/>
      <c r="M26" s="4">
        <f t="shared" si="2"/>
        <v>33.14999999999418</v>
      </c>
      <c r="O26" s="4">
        <f>39617.31+12443.94+3370.87+5301</f>
        <v>60733.12</v>
      </c>
      <c r="Q26" s="4">
        <f t="shared" si="3"/>
        <v>13555.659999999996</v>
      </c>
      <c r="S26" s="4"/>
      <c r="U26" s="65"/>
      <c r="X26" s="4"/>
    </row>
    <row r="27" spans="3:24" ht="12.75">
      <c r="C27" t="s">
        <v>10</v>
      </c>
      <c r="G27" s="4"/>
      <c r="I27" s="4">
        <v>22999.3</v>
      </c>
      <c r="J27" s="4"/>
      <c r="K27" s="4">
        <v>23135.42</v>
      </c>
      <c r="L27" s="4"/>
      <c r="M27" s="4">
        <f t="shared" si="2"/>
        <v>136.11999999999898</v>
      </c>
      <c r="O27" s="4">
        <v>43973.48</v>
      </c>
      <c r="Q27" s="4">
        <f t="shared" si="3"/>
        <v>20974.180000000004</v>
      </c>
      <c r="S27" s="4"/>
      <c r="U27" s="65"/>
      <c r="X27" s="4"/>
    </row>
    <row r="28" spans="3:24" ht="12.75">
      <c r="C28" t="s">
        <v>11</v>
      </c>
      <c r="G28" s="4"/>
      <c r="I28" s="4">
        <v>4928.37</v>
      </c>
      <c r="J28" s="4"/>
      <c r="K28" s="4">
        <v>3231</v>
      </c>
      <c r="L28" s="4"/>
      <c r="M28" s="4">
        <f t="shared" si="2"/>
        <v>-1697.37</v>
      </c>
      <c r="O28" s="4">
        <v>5515</v>
      </c>
      <c r="Q28" s="4">
        <f t="shared" si="3"/>
        <v>586.6300000000001</v>
      </c>
      <c r="S28" s="4"/>
      <c r="U28" s="65"/>
      <c r="X28" s="4"/>
    </row>
    <row r="29" spans="3:24" ht="12.75">
      <c r="C29" s="3" t="s">
        <v>40</v>
      </c>
      <c r="G29" s="4"/>
      <c r="I29" s="4">
        <f>8355.87+2046+1366.69</f>
        <v>11768.560000000001</v>
      </c>
      <c r="J29" s="4"/>
      <c r="K29" s="4">
        <f>16409.32+458.8+4290.47</f>
        <v>21158.59</v>
      </c>
      <c r="L29" s="4"/>
      <c r="M29" s="4">
        <f t="shared" si="2"/>
        <v>9390.029999999999</v>
      </c>
      <c r="O29" s="4">
        <f>53986.69+11115.52+11516.43</f>
        <v>76618.64000000001</v>
      </c>
      <c r="Q29" s="4">
        <f t="shared" si="3"/>
        <v>64850.080000000016</v>
      </c>
      <c r="S29" s="4"/>
      <c r="U29" s="65"/>
      <c r="X29" s="4"/>
    </row>
    <row r="30" spans="3:24" ht="12.75">
      <c r="C30" s="47" t="s">
        <v>41</v>
      </c>
      <c r="G30" s="4"/>
      <c r="I30" s="4">
        <f>10226.35+3773.1+6281.49</f>
        <v>20280.940000000002</v>
      </c>
      <c r="J30" s="4"/>
      <c r="K30" s="4">
        <f>10530.47+4230.53+8808.59</f>
        <v>23569.59</v>
      </c>
      <c r="L30" s="4"/>
      <c r="M30" s="4">
        <f>SUM(K30-I30)</f>
        <v>3288.649999999998</v>
      </c>
      <c r="O30" s="4">
        <f>12657.96+3962.07+11822.59</f>
        <v>28442.62</v>
      </c>
      <c r="Q30" s="4">
        <f>SUM(O30-I30)</f>
        <v>8161.679999999997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385766.64</v>
      </c>
      <c r="J34" s="5"/>
      <c r="K34" s="5">
        <f>SUM(K23:K32)</f>
        <v>403460.06000000006</v>
      </c>
      <c r="L34" s="5"/>
      <c r="M34" s="5">
        <f>SUM(M23:M32)</f>
        <v>17693.42000000001</v>
      </c>
      <c r="N34" s="4"/>
      <c r="O34" s="5">
        <f>SUM(O23:O32)</f>
        <v>520809.35</v>
      </c>
      <c r="Q34" s="5">
        <f>SUM(Q23:Q32)</f>
        <v>135042.71000000002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28187.5</v>
      </c>
      <c r="J37" s="4"/>
      <c r="K37" s="4">
        <v>32750</v>
      </c>
      <c r="L37" s="4"/>
      <c r="M37" s="4">
        <f>SUM(K37-I37)</f>
        <v>4562.5</v>
      </c>
      <c r="O37" s="4">
        <v>29437.5</v>
      </c>
      <c r="Q37" s="4">
        <f>SUM(O37-I37)</f>
        <v>1250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28187.5</v>
      </c>
      <c r="J39" s="5"/>
      <c r="K39" s="5">
        <f>SUM(K37:K37)</f>
        <v>32750</v>
      </c>
      <c r="L39" s="5"/>
      <c r="M39" s="4">
        <f>SUM(K39-I39)</f>
        <v>4562.5</v>
      </c>
      <c r="N39" s="5"/>
      <c r="O39" s="5">
        <f>SUM(O37:O37)</f>
        <v>29437.5</v>
      </c>
      <c r="Q39" s="4">
        <f>SUM(O39-I39)</f>
        <v>1250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413954.14</v>
      </c>
      <c r="J41" s="61"/>
      <c r="K41" s="61">
        <f>K34+K39</f>
        <v>436210.06000000006</v>
      </c>
      <c r="L41" s="61"/>
      <c r="M41" s="61">
        <f>M34+M39</f>
        <v>22255.92000000001</v>
      </c>
      <c r="O41" s="61">
        <f>O34+O39</f>
        <v>550246.85</v>
      </c>
      <c r="Q41" s="61">
        <f>Q34+Q39</f>
        <v>136292.71000000002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103913.93</v>
      </c>
      <c r="J43" s="62"/>
      <c r="K43" s="62">
        <f>K19-K41</f>
        <v>71131.28999999998</v>
      </c>
      <c r="L43" s="62"/>
      <c r="M43" s="62">
        <f>SUM(M41+M19)</f>
        <v>32782.64000000003</v>
      </c>
      <c r="O43" s="62">
        <f>O19-O41</f>
        <v>-62672.44999999995</v>
      </c>
      <c r="Q43" s="62">
        <f>Q19+Q41</f>
        <v>166586.38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44561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131</v>
      </c>
      <c r="J5" s="23"/>
      <c r="K5" s="23" t="s">
        <v>110</v>
      </c>
      <c r="L5" s="23"/>
      <c r="M5" s="26" t="s">
        <v>27</v>
      </c>
      <c r="O5" s="23" t="s">
        <v>131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581113.31+129074.27+13350</f>
        <v>723537.5800000001</v>
      </c>
      <c r="J8" s="4"/>
      <c r="K8" s="4">
        <f>521305.09+198682.25+6650</f>
        <v>726637.3400000001</v>
      </c>
      <c r="L8" s="4"/>
      <c r="M8" s="4">
        <f aca="true" t="shared" si="0" ref="M8:M14">SUM(I8-K8)</f>
        <v>-3099.7600000000093</v>
      </c>
      <c r="O8" s="4">
        <f>457731.87+161882.44+5442.33</f>
        <v>625056.64</v>
      </c>
      <c r="Q8" s="4">
        <f aca="true" t="shared" si="1" ref="Q8:Q14">SUM(I8-O8)</f>
        <v>98480.94000000006</v>
      </c>
      <c r="S8" s="4"/>
      <c r="U8" s="65"/>
      <c r="X8" s="4"/>
    </row>
    <row r="9" spans="4:24" ht="12.75">
      <c r="D9" t="s">
        <v>2</v>
      </c>
      <c r="G9" s="4"/>
      <c r="I9" s="4">
        <v>26832.46</v>
      </c>
      <c r="J9" s="4"/>
      <c r="K9" s="4">
        <v>-6839.25</v>
      </c>
      <c r="L9" s="4"/>
      <c r="M9" s="4">
        <f t="shared" si="0"/>
        <v>33671.71</v>
      </c>
      <c r="O9" s="4">
        <v>8687.05</v>
      </c>
      <c r="Q9" s="4">
        <f t="shared" si="1"/>
        <v>18145.41</v>
      </c>
      <c r="S9" s="4"/>
      <c r="U9" s="65"/>
      <c r="X9" s="4"/>
    </row>
    <row r="10" spans="4:24" ht="12.75">
      <c r="D10" t="s">
        <v>3</v>
      </c>
      <c r="G10" s="4"/>
      <c r="I10" s="4">
        <v>55614.15</v>
      </c>
      <c r="J10" s="4"/>
      <c r="K10" s="4">
        <v>50987.54</v>
      </c>
      <c r="L10" s="4"/>
      <c r="M10" s="4">
        <f t="shared" si="0"/>
        <v>4626.610000000001</v>
      </c>
      <c r="O10" s="4">
        <v>67146.96</v>
      </c>
      <c r="Q10" s="4">
        <f t="shared" si="1"/>
        <v>-11532.810000000005</v>
      </c>
      <c r="S10" s="4"/>
      <c r="U10" s="65"/>
      <c r="X10" s="4"/>
    </row>
    <row r="11" spans="4:24" ht="12.75">
      <c r="D11" t="s">
        <v>31</v>
      </c>
      <c r="G11" s="4"/>
      <c r="I11" s="4">
        <f>270.38+53927</f>
        <v>54197.38</v>
      </c>
      <c r="J11" s="4"/>
      <c r="K11" s="4">
        <f>9639.06+24000</f>
        <v>33639.06</v>
      </c>
      <c r="L11" s="4"/>
      <c r="M11" s="4">
        <f t="shared" si="0"/>
        <v>20558.32</v>
      </c>
      <c r="O11" s="4">
        <f>453.27+56499.98</f>
        <v>56953.25</v>
      </c>
      <c r="Q11" s="4">
        <f t="shared" si="1"/>
        <v>-2755.8700000000026</v>
      </c>
      <c r="S11" s="4"/>
      <c r="U11" s="65"/>
      <c r="X11" s="4"/>
    </row>
    <row r="12" spans="4:24" ht="12.75">
      <c r="D12" t="s">
        <v>30</v>
      </c>
      <c r="G12" s="4"/>
      <c r="I12" s="4">
        <v>6290.72</v>
      </c>
      <c r="J12" s="4"/>
      <c r="K12" s="4">
        <v>2120.49</v>
      </c>
      <c r="L12" s="4"/>
      <c r="M12" s="4">
        <f t="shared" si="0"/>
        <v>4170.2300000000005</v>
      </c>
      <c r="O12" s="4">
        <v>2100.23</v>
      </c>
      <c r="Q12" s="4">
        <f t="shared" si="1"/>
        <v>4190.49</v>
      </c>
      <c r="S12" s="4"/>
      <c r="U12" s="65"/>
      <c r="X12" s="4"/>
    </row>
    <row r="13" spans="4:24" ht="12.75">
      <c r="D13" t="s">
        <v>29</v>
      </c>
      <c r="G13" s="4"/>
      <c r="I13" s="4">
        <v>4537.58</v>
      </c>
      <c r="J13" s="4"/>
      <c r="K13" s="4">
        <f>343.21+5071.74</f>
        <v>5414.95</v>
      </c>
      <c r="L13" s="4"/>
      <c r="M13" s="4">
        <f t="shared" si="0"/>
        <v>-877.3699999999999</v>
      </c>
      <c r="O13" s="4">
        <v>4685.17</v>
      </c>
      <c r="Q13" s="4">
        <f t="shared" si="1"/>
        <v>-147.59000000000015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871009.87</v>
      </c>
      <c r="J16" s="5"/>
      <c r="K16" s="5">
        <f>SUM(K8:K14)</f>
        <v>811960.1300000001</v>
      </c>
      <c r="L16" s="5"/>
      <c r="M16" s="5">
        <f>SUM(M8:M14)</f>
        <v>59049.73999999999</v>
      </c>
      <c r="N16" s="5"/>
      <c r="O16" s="5">
        <f>SUM(O8:O14)</f>
        <v>764629.3</v>
      </c>
      <c r="Q16" s="5">
        <f>SUM(Q8:Q14)</f>
        <v>106380.57000000008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871009.87</v>
      </c>
      <c r="J19" s="61"/>
      <c r="K19" s="61">
        <f>K16</f>
        <v>811960.1300000001</v>
      </c>
      <c r="L19" s="61"/>
      <c r="M19" s="61">
        <f>M16</f>
        <v>59049.73999999999</v>
      </c>
      <c r="O19" s="61">
        <f>O16</f>
        <v>764629.3</v>
      </c>
      <c r="Q19" s="62">
        <f>SUM(I19-O19)</f>
        <v>106380.56999999995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86449.98</v>
      </c>
      <c r="J23" s="4"/>
      <c r="K23" s="4">
        <v>94950</v>
      </c>
      <c r="L23" s="4"/>
      <c r="M23" s="4">
        <f aca="true" t="shared" si="2" ref="M23:M29">SUM(K23-I23)</f>
        <v>8500.020000000004</v>
      </c>
      <c r="O23" s="4">
        <v>87594</v>
      </c>
      <c r="Q23" s="4">
        <f aca="true" t="shared" si="3" ref="Q23:Q29">SUM(O23-I23)</f>
        <v>1144.020000000004</v>
      </c>
      <c r="S23" s="4"/>
      <c r="U23" s="65"/>
      <c r="X23" s="4"/>
    </row>
    <row r="24" spans="3:24" ht="12.75">
      <c r="C24" t="s">
        <v>9</v>
      </c>
      <c r="G24" s="4"/>
      <c r="I24" s="4">
        <f>34996.86+188800.69+1408.02+33135+25373.03</f>
        <v>283713.6</v>
      </c>
      <c r="J24" s="4"/>
      <c r="K24" s="4">
        <f>33522.76+192789.74+1341+30609.66+26917.93</f>
        <v>285181.09</v>
      </c>
      <c r="L24" s="4"/>
      <c r="M24" s="4">
        <f t="shared" si="2"/>
        <v>1467.490000000049</v>
      </c>
      <c r="O24" s="4">
        <f>29623.1+220852.45+1475.1+33670.63+38253.25</f>
        <v>323874.53</v>
      </c>
      <c r="Q24" s="4">
        <f t="shared" si="3"/>
        <v>40160.93000000005</v>
      </c>
      <c r="S24" s="4"/>
      <c r="U24" s="65"/>
      <c r="X24" s="4"/>
    </row>
    <row r="25" spans="3:24" ht="12.75">
      <c r="C25" s="3" t="s">
        <v>106</v>
      </c>
      <c r="G25" s="4"/>
      <c r="I25" s="4">
        <v>55465.13</v>
      </c>
      <c r="J25" s="4"/>
      <c r="K25" s="4">
        <v>63521.32</v>
      </c>
      <c r="L25" s="4"/>
      <c r="M25" s="4">
        <f t="shared" si="2"/>
        <v>8056.190000000002</v>
      </c>
      <c r="O25" s="4">
        <v>68142.52</v>
      </c>
      <c r="Q25" s="4">
        <f t="shared" si="3"/>
        <v>12677.390000000007</v>
      </c>
      <c r="S25" s="4"/>
      <c r="U25" s="65"/>
      <c r="X25" s="4"/>
    </row>
    <row r="26" spans="3:24" ht="12.75">
      <c r="C26" t="s">
        <v>33</v>
      </c>
      <c r="G26" s="4"/>
      <c r="I26" s="4">
        <f>53139.68+9414.26+3484.01+7541.43</f>
        <v>73579.38</v>
      </c>
      <c r="J26" s="4" t="s">
        <v>18</v>
      </c>
      <c r="K26" s="4">
        <f>55001.89+11931.92+3633.44+5253.57</f>
        <v>75820.82</v>
      </c>
      <c r="L26" s="4"/>
      <c r="M26" s="4">
        <f t="shared" si="2"/>
        <v>2241.4400000000023</v>
      </c>
      <c r="O26" s="4">
        <f>59248.51+20504.61+5183.13+10166.66</f>
        <v>95102.91</v>
      </c>
      <c r="Q26" s="4">
        <f t="shared" si="3"/>
        <v>21523.53</v>
      </c>
      <c r="S26" s="4"/>
      <c r="U26" s="65"/>
      <c r="X26" s="4"/>
    </row>
    <row r="27" spans="3:24" ht="12.75">
      <c r="C27" t="s">
        <v>10</v>
      </c>
      <c r="G27" s="4"/>
      <c r="I27" s="4">
        <v>30873</v>
      </c>
      <c r="J27" s="4"/>
      <c r="K27" s="4">
        <v>26002.04</v>
      </c>
      <c r="L27" s="4"/>
      <c r="M27" s="4">
        <f t="shared" si="2"/>
        <v>-4870.959999999999</v>
      </c>
      <c r="O27" s="4">
        <v>55443.87</v>
      </c>
      <c r="Q27" s="4">
        <f t="shared" si="3"/>
        <v>24570.870000000003</v>
      </c>
      <c r="S27" s="4"/>
      <c r="U27" s="65"/>
      <c r="X27" s="4"/>
    </row>
    <row r="28" spans="3:24" ht="12.75">
      <c r="C28" t="s">
        <v>11</v>
      </c>
      <c r="G28" s="4"/>
      <c r="I28" s="4">
        <v>6028.94</v>
      </c>
      <c r="J28" s="4"/>
      <c r="K28" s="4">
        <v>5281.25</v>
      </c>
      <c r="L28" s="4"/>
      <c r="M28" s="4">
        <f t="shared" si="2"/>
        <v>-747.6899999999996</v>
      </c>
      <c r="O28" s="4">
        <v>8669.92</v>
      </c>
      <c r="Q28" s="4">
        <f t="shared" si="3"/>
        <v>2640.9800000000005</v>
      </c>
      <c r="S28" s="4"/>
      <c r="U28" s="65"/>
      <c r="X28" s="4"/>
    </row>
    <row r="29" spans="3:24" ht="12.75">
      <c r="C29" s="3" t="s">
        <v>40</v>
      </c>
      <c r="G29" s="4"/>
      <c r="I29" s="4">
        <f>22972.84+2046+2251.46</f>
        <v>27270.3</v>
      </c>
      <c r="J29" s="4"/>
      <c r="K29" s="4">
        <f>20479.73+586.04+5649.88</f>
        <v>26715.65</v>
      </c>
      <c r="L29" s="4"/>
      <c r="M29" s="4">
        <f t="shared" si="2"/>
        <v>-554.6499999999978</v>
      </c>
      <c r="O29" s="4">
        <f>77799.56+16513.31+17913.5</f>
        <v>112226.37</v>
      </c>
      <c r="Q29" s="4">
        <f t="shared" si="3"/>
        <v>84956.06999999999</v>
      </c>
      <c r="S29" s="4"/>
      <c r="U29" s="65"/>
      <c r="X29" s="4"/>
    </row>
    <row r="30" spans="3:24" ht="12.75">
      <c r="C30" s="47" t="s">
        <v>41</v>
      </c>
      <c r="G30" s="4"/>
      <c r="I30" s="4">
        <f>18357.56+6231.57+11893.58</f>
        <v>36482.71</v>
      </c>
      <c r="J30" s="4"/>
      <c r="K30" s="4">
        <f>15296.7+6081.27+13194.97</f>
        <v>34572.94</v>
      </c>
      <c r="L30" s="4"/>
      <c r="M30" s="4">
        <f>SUM(K30-I30)</f>
        <v>-1909.7699999999968</v>
      </c>
      <c r="O30" s="4">
        <f>18453.12+5698.77+17712.02</f>
        <v>41863.91</v>
      </c>
      <c r="Q30" s="4">
        <f>SUM(O30-I30)</f>
        <v>5381.200000000004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599863.0399999999</v>
      </c>
      <c r="J34" s="5"/>
      <c r="K34" s="5">
        <f>SUM(K23:K32)</f>
        <v>612045.1100000001</v>
      </c>
      <c r="L34" s="5"/>
      <c r="M34" s="5">
        <f>SUM(M23:M32)</f>
        <v>12182.070000000065</v>
      </c>
      <c r="N34" s="4"/>
      <c r="O34" s="5">
        <f>SUM(O23:O32)</f>
        <v>792918.0300000001</v>
      </c>
      <c r="Q34" s="5">
        <f>SUM(Q23:Q32)</f>
        <v>193054.99000000005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56375</v>
      </c>
      <c r="J37" s="4"/>
      <c r="K37" s="4">
        <v>65500</v>
      </c>
      <c r="L37" s="4"/>
      <c r="M37" s="4">
        <f>SUM(K37-I37)</f>
        <v>9125</v>
      </c>
      <c r="O37" s="4">
        <v>58875</v>
      </c>
      <c r="Q37" s="4">
        <f>SUM(O37-I37)</f>
        <v>2500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56375</v>
      </c>
      <c r="J39" s="5"/>
      <c r="K39" s="5">
        <f>SUM(K37:K37)</f>
        <v>65500</v>
      </c>
      <c r="L39" s="5"/>
      <c r="M39" s="4">
        <f>SUM(K39-I39)</f>
        <v>9125</v>
      </c>
      <c r="N39" s="5"/>
      <c r="O39" s="5">
        <f>SUM(O37:O37)</f>
        <v>58875</v>
      </c>
      <c r="Q39" s="4">
        <f>SUM(O39-I39)</f>
        <v>2500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656238.0399999999</v>
      </c>
      <c r="J41" s="61"/>
      <c r="K41" s="61">
        <f>K34+K39</f>
        <v>677545.1100000001</v>
      </c>
      <c r="L41" s="61"/>
      <c r="M41" s="61">
        <f>M34+M39</f>
        <v>21307.070000000065</v>
      </c>
      <c r="O41" s="61">
        <f>O34+O39</f>
        <v>851793.0300000001</v>
      </c>
      <c r="Q41" s="61">
        <f>Q34+Q39</f>
        <v>195554.99000000005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214771.83000000007</v>
      </c>
      <c r="J43" s="62"/>
      <c r="K43" s="62">
        <f>K19-K41</f>
        <v>134415.02000000002</v>
      </c>
      <c r="L43" s="62"/>
      <c r="M43" s="62">
        <f>SUM(M41+M19)</f>
        <v>80356.81000000006</v>
      </c>
      <c r="O43" s="62">
        <f>O19-O41</f>
        <v>-87163.7300000001</v>
      </c>
      <c r="Q43" s="62">
        <f>Q19+Q41</f>
        <v>301935.56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44620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132</v>
      </c>
      <c r="J5" s="23"/>
      <c r="K5" s="23" t="s">
        <v>112</v>
      </c>
      <c r="L5" s="23"/>
      <c r="M5" s="26" t="s">
        <v>27</v>
      </c>
      <c r="O5" s="23" t="s">
        <v>132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768292.37+168709.55+16950</f>
        <v>953951.9199999999</v>
      </c>
      <c r="J8" s="4"/>
      <c r="K8" s="4">
        <f>713538.93+241420.03+8100</f>
        <v>963058.9600000001</v>
      </c>
      <c r="L8" s="4"/>
      <c r="M8" s="4">
        <f aca="true" t="shared" si="0" ref="M8:M14">SUM(I8-K8)</f>
        <v>-9107.040000000154</v>
      </c>
      <c r="O8" s="4">
        <f>753507.78+204200.97+6617.37</f>
        <v>964326.12</v>
      </c>
      <c r="Q8" s="4">
        <f aca="true" t="shared" si="1" ref="Q8:Q14">SUM(I8-O8)</f>
        <v>-10374.20000000007</v>
      </c>
      <c r="S8" s="4"/>
      <c r="U8" s="65"/>
      <c r="X8" s="4"/>
    </row>
    <row r="9" spans="4:24" ht="12.75">
      <c r="D9" t="s">
        <v>2</v>
      </c>
      <c r="G9" s="4"/>
      <c r="I9" s="4">
        <v>25261.44</v>
      </c>
      <c r="J9" s="4"/>
      <c r="K9" s="4">
        <v>153974.26</v>
      </c>
      <c r="L9" s="4"/>
      <c r="M9" s="4">
        <f t="shared" si="0"/>
        <v>-128712.82</v>
      </c>
      <c r="O9" s="4">
        <v>12058.3</v>
      </c>
      <c r="Q9" s="4">
        <f t="shared" si="1"/>
        <v>13203.14</v>
      </c>
      <c r="S9" s="4"/>
      <c r="U9" s="65"/>
      <c r="X9" s="4"/>
    </row>
    <row r="10" spans="4:24" ht="12.75">
      <c r="D10" t="s">
        <v>3</v>
      </c>
      <c r="G10" s="4"/>
      <c r="I10" s="4">
        <v>57579.36</v>
      </c>
      <c r="J10" s="4"/>
      <c r="K10" s="4">
        <v>52851.76</v>
      </c>
      <c r="L10" s="4"/>
      <c r="M10" s="4">
        <f t="shared" si="0"/>
        <v>4727.5999999999985</v>
      </c>
      <c r="O10" s="4">
        <v>71465.23</v>
      </c>
      <c r="Q10" s="4">
        <f t="shared" si="1"/>
        <v>-13885.869999999995</v>
      </c>
      <c r="S10" s="4"/>
      <c r="U10" s="65"/>
      <c r="X10" s="4"/>
    </row>
    <row r="11" spans="4:24" ht="12.75">
      <c r="D11" t="s">
        <v>31</v>
      </c>
      <c r="G11" s="4"/>
      <c r="I11" s="4">
        <f>438.28+65527</f>
        <v>65965.28</v>
      </c>
      <c r="J11" s="4"/>
      <c r="K11" s="4">
        <f>10048.88+32300</f>
        <v>42348.88</v>
      </c>
      <c r="L11" s="4"/>
      <c r="M11" s="4">
        <f t="shared" si="0"/>
        <v>23616.4</v>
      </c>
      <c r="O11" s="4">
        <f>472.54+75333.32</f>
        <v>75805.86</v>
      </c>
      <c r="Q11" s="4">
        <f t="shared" si="1"/>
        <v>-9840.580000000002</v>
      </c>
      <c r="S11" s="4"/>
      <c r="U11" s="65"/>
      <c r="X11" s="4"/>
    </row>
    <row r="12" spans="4:24" ht="12.75">
      <c r="D12" t="s">
        <v>30</v>
      </c>
      <c r="G12" s="4"/>
      <c r="I12" s="4">
        <v>7027.11</v>
      </c>
      <c r="J12" s="4"/>
      <c r="K12" s="4">
        <v>2800.49</v>
      </c>
      <c r="L12" s="4"/>
      <c r="M12" s="4">
        <f t="shared" si="0"/>
        <v>4226.62</v>
      </c>
      <c r="O12" s="4">
        <v>2780.23</v>
      </c>
      <c r="Q12" s="4">
        <f t="shared" si="1"/>
        <v>4246.879999999999</v>
      </c>
      <c r="S12" s="4"/>
      <c r="U12" s="65"/>
      <c r="X12" s="4"/>
    </row>
    <row r="13" spans="4:24" ht="12.75">
      <c r="D13" t="s">
        <v>29</v>
      </c>
      <c r="G13" s="4"/>
      <c r="I13" s="4">
        <f>25509.96+4537.58</f>
        <v>30047.54</v>
      </c>
      <c r="J13" s="4"/>
      <c r="K13" s="4">
        <f>343.21+5071.74</f>
        <v>5414.95</v>
      </c>
      <c r="L13" s="4"/>
      <c r="M13" s="4">
        <f t="shared" si="0"/>
        <v>24632.59</v>
      </c>
      <c r="O13" s="4">
        <v>4685.17</v>
      </c>
      <c r="Q13" s="4">
        <f t="shared" si="1"/>
        <v>25362.370000000003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1139832.65</v>
      </c>
      <c r="J16" s="5"/>
      <c r="K16" s="5">
        <f>SUM(K8:K14)</f>
        <v>1220449.3</v>
      </c>
      <c r="L16" s="5"/>
      <c r="M16" s="5">
        <f>SUM(M8:M14)</f>
        <v>-80616.65000000017</v>
      </c>
      <c r="N16" s="5"/>
      <c r="O16" s="5">
        <f>SUM(O8:O14)</f>
        <v>1131120.91</v>
      </c>
      <c r="Q16" s="5">
        <f>SUM(Q8:Q14)</f>
        <v>8711.739999999932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1139832.65</v>
      </c>
      <c r="J19" s="61"/>
      <c r="K19" s="61">
        <f>K16</f>
        <v>1220449.3</v>
      </c>
      <c r="L19" s="61"/>
      <c r="M19" s="61">
        <f>M16</f>
        <v>-80616.65000000017</v>
      </c>
      <c r="O19" s="61">
        <f>O16</f>
        <v>1131120.91</v>
      </c>
      <c r="Q19" s="62">
        <f>SUM(I19-O19)</f>
        <v>8711.73999999999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115266.64</v>
      </c>
      <c r="J23" s="4"/>
      <c r="K23" s="4">
        <v>126600</v>
      </c>
      <c r="L23" s="4"/>
      <c r="M23" s="4">
        <f aca="true" t="shared" si="2" ref="M23:M29">SUM(K23-I23)</f>
        <v>11333.36</v>
      </c>
      <c r="O23" s="4">
        <v>116792</v>
      </c>
      <c r="Q23" s="4">
        <f aca="true" t="shared" si="3" ref="Q23:Q29">SUM(O23-I23)</f>
        <v>1525.3600000000006</v>
      </c>
      <c r="S23" s="4"/>
      <c r="U23" s="65"/>
      <c r="X23" s="4"/>
    </row>
    <row r="24" spans="3:24" ht="12.75">
      <c r="C24" t="s">
        <v>9</v>
      </c>
      <c r="G24" s="4"/>
      <c r="I24" s="4">
        <f>48124.48+240907.87+1877.36+44180+38432</f>
        <v>373521.70999999996</v>
      </c>
      <c r="J24" s="4"/>
      <c r="K24" s="4">
        <f>44835.38+242830.69+1788+40812.88+37993.65</f>
        <v>368260.60000000003</v>
      </c>
      <c r="L24" s="4"/>
      <c r="M24" s="4">
        <f t="shared" si="2"/>
        <v>-5261.109999999928</v>
      </c>
      <c r="O24" s="4">
        <f>41563.36+276031.46+1966.8+44894.17+50526.14</f>
        <v>414981.93</v>
      </c>
      <c r="Q24" s="4">
        <f t="shared" si="3"/>
        <v>41460.22000000003</v>
      </c>
      <c r="S24" s="4"/>
      <c r="U24" s="65"/>
      <c r="X24" s="4"/>
    </row>
    <row r="25" spans="3:24" ht="12.75">
      <c r="C25" s="3" t="s">
        <v>106</v>
      </c>
      <c r="G25" s="4"/>
      <c r="I25" s="4">
        <v>73712.61</v>
      </c>
      <c r="J25" s="4"/>
      <c r="K25" s="4">
        <v>87224.61</v>
      </c>
      <c r="L25" s="4"/>
      <c r="M25" s="4">
        <f t="shared" si="2"/>
        <v>13512</v>
      </c>
      <c r="O25" s="4">
        <v>92909.81</v>
      </c>
      <c r="Q25" s="4">
        <f t="shared" si="3"/>
        <v>19197.199999999997</v>
      </c>
      <c r="S25" s="4"/>
      <c r="U25" s="65"/>
      <c r="X25" s="4"/>
    </row>
    <row r="26" spans="3:24" ht="12.75">
      <c r="C26" t="s">
        <v>33</v>
      </c>
      <c r="G26" s="4"/>
      <c r="I26" s="4">
        <f>70159.49+10752.1+4355.33+9632.56</f>
        <v>94899.48000000001</v>
      </c>
      <c r="J26" s="4" t="s">
        <v>18</v>
      </c>
      <c r="K26" s="4">
        <f>74770.09+17048.33+4950.33+7711.43</f>
        <v>104480.18</v>
      </c>
      <c r="L26" s="4"/>
      <c r="M26" s="4">
        <f t="shared" si="2"/>
        <v>9580.699999999983</v>
      </c>
      <c r="O26" s="4">
        <f>79156.91+27529.68+7350.42+14568.34</f>
        <v>128605.34999999999</v>
      </c>
      <c r="Q26" s="4">
        <f t="shared" si="3"/>
        <v>33705.86999999998</v>
      </c>
      <c r="S26" s="4"/>
      <c r="U26" s="65"/>
      <c r="X26" s="4"/>
    </row>
    <row r="27" spans="3:24" ht="12.75">
      <c r="C27" t="s">
        <v>10</v>
      </c>
      <c r="G27" s="4"/>
      <c r="I27" s="4">
        <v>37564.28</v>
      </c>
      <c r="J27" s="4"/>
      <c r="K27" s="4">
        <v>28628.92</v>
      </c>
      <c r="L27" s="4"/>
      <c r="M27" s="4">
        <f t="shared" si="2"/>
        <v>-8935.36</v>
      </c>
      <c r="O27" s="4">
        <v>65607.8</v>
      </c>
      <c r="Q27" s="4">
        <f t="shared" si="3"/>
        <v>28043.520000000004</v>
      </c>
      <c r="S27" s="4"/>
      <c r="U27" s="65"/>
      <c r="X27" s="4"/>
    </row>
    <row r="28" spans="3:24" ht="12.75">
      <c r="C28" t="s">
        <v>11</v>
      </c>
      <c r="G28" s="4"/>
      <c r="I28" s="4">
        <v>6447.13</v>
      </c>
      <c r="J28" s="4"/>
      <c r="K28" s="4">
        <v>6443.39</v>
      </c>
      <c r="L28" s="4"/>
      <c r="M28" s="4">
        <f t="shared" si="2"/>
        <v>-3.7399999999997817</v>
      </c>
      <c r="O28" s="4">
        <v>10392.69</v>
      </c>
      <c r="Q28" s="4">
        <f t="shared" si="3"/>
        <v>3945.5600000000004</v>
      </c>
      <c r="S28" s="4"/>
      <c r="U28" s="65"/>
      <c r="X28" s="4"/>
    </row>
    <row r="29" spans="3:24" ht="12.75">
      <c r="C29" s="3" t="s">
        <v>40</v>
      </c>
      <c r="G29" s="4"/>
      <c r="I29" s="4">
        <f>42778.66+2996+3518.46</f>
        <v>49293.12</v>
      </c>
      <c r="J29" s="4"/>
      <c r="K29" s="4">
        <f>54108.78+2368.36+7056.89</f>
        <v>63534.03</v>
      </c>
      <c r="L29" s="4"/>
      <c r="M29" s="4">
        <f t="shared" si="2"/>
        <v>14240.909999999996</v>
      </c>
      <c r="O29" s="4">
        <f>116268.7+23864.6+23820.93</f>
        <v>163954.22999999998</v>
      </c>
      <c r="Q29" s="4">
        <f t="shared" si="3"/>
        <v>114661.10999999999</v>
      </c>
      <c r="S29" s="4"/>
      <c r="U29" s="65"/>
      <c r="X29" s="4"/>
    </row>
    <row r="30" spans="3:24" ht="12.75">
      <c r="C30" s="47" t="s">
        <v>41</v>
      </c>
      <c r="G30" s="4"/>
      <c r="I30" s="4">
        <f>24478.22+8080.23+16683.9</f>
        <v>49242.350000000006</v>
      </c>
      <c r="J30" s="4"/>
      <c r="K30" s="4">
        <f>21034.9+8515.26+17896.05</f>
        <v>47446.21000000001</v>
      </c>
      <c r="L30" s="4"/>
      <c r="M30" s="4">
        <f>SUM(K30-I30)</f>
        <v>-1796.1399999999994</v>
      </c>
      <c r="O30" s="4">
        <f>25110.8+7973.85+23909.47</f>
        <v>56994.12</v>
      </c>
      <c r="Q30" s="4">
        <f>SUM(O30-I30)</f>
        <v>7751.769999999997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799947.32</v>
      </c>
      <c r="J34" s="5"/>
      <c r="K34" s="5">
        <f>SUM(K23:K32)</f>
        <v>832617.9400000002</v>
      </c>
      <c r="L34" s="5"/>
      <c r="M34" s="5">
        <f>SUM(M23:M32)</f>
        <v>32670.620000000054</v>
      </c>
      <c r="N34" s="4"/>
      <c r="O34" s="5">
        <f>SUM(O23:O32)</f>
        <v>1050237.93</v>
      </c>
      <c r="Q34" s="5">
        <f>SUM(Q23:Q32)</f>
        <v>250290.61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84562.5</v>
      </c>
      <c r="J37" s="4"/>
      <c r="K37" s="4">
        <v>98250</v>
      </c>
      <c r="L37" s="4"/>
      <c r="M37" s="4">
        <f>SUM(K37-I37)</f>
        <v>13687.5</v>
      </c>
      <c r="O37" s="4">
        <v>88312.5</v>
      </c>
      <c r="Q37" s="4">
        <f>SUM(O37-I37)</f>
        <v>3750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84562.5</v>
      </c>
      <c r="J39" s="5"/>
      <c r="K39" s="5">
        <f>SUM(K37:K37)</f>
        <v>98250</v>
      </c>
      <c r="L39" s="5"/>
      <c r="M39" s="4">
        <f>SUM(K39-I39)</f>
        <v>13687.5</v>
      </c>
      <c r="N39" s="5"/>
      <c r="O39" s="5">
        <f>SUM(O37:O37)</f>
        <v>88312.5</v>
      </c>
      <c r="Q39" s="4">
        <f>SUM(O39-I39)</f>
        <v>3750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884509.82</v>
      </c>
      <c r="J41" s="61"/>
      <c r="K41" s="61">
        <f>K34+K39</f>
        <v>930867.9400000002</v>
      </c>
      <c r="L41" s="61"/>
      <c r="M41" s="61">
        <f>M34+M39</f>
        <v>46358.12000000005</v>
      </c>
      <c r="O41" s="61">
        <f>O34+O39</f>
        <v>1138550.43</v>
      </c>
      <c r="Q41" s="61">
        <f>Q34+Q39</f>
        <v>254040.61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255322.82999999996</v>
      </c>
      <c r="J43" s="62"/>
      <c r="K43" s="62">
        <f>K19-K41</f>
        <v>289581.35999999987</v>
      </c>
      <c r="L43" s="62"/>
      <c r="M43" s="62">
        <f>SUM(M41+M19)</f>
        <v>-34258.530000000115</v>
      </c>
      <c r="O43" s="62">
        <f>O19-O41</f>
        <v>-7429.520000000019</v>
      </c>
      <c r="Q43" s="62">
        <f>Q19+Q41</f>
        <v>262752.35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9">
      <selection activeCell="O26" sqref="O26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44681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133</v>
      </c>
      <c r="J5" s="23"/>
      <c r="K5" s="23" t="s">
        <v>114</v>
      </c>
      <c r="L5" s="23"/>
      <c r="M5" s="26" t="s">
        <v>27</v>
      </c>
      <c r="O5" s="23" t="s">
        <v>133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952293.08+249924.23+22000</f>
        <v>1224217.31</v>
      </c>
      <c r="J8" s="4"/>
      <c r="K8" s="4">
        <f>883759.39+317449.53+12450</f>
        <v>1213658.92</v>
      </c>
      <c r="L8" s="4"/>
      <c r="M8" s="4">
        <f aca="true" t="shared" si="0" ref="M8:M14">SUM(I8-K8)</f>
        <v>10558.39000000013</v>
      </c>
      <c r="O8" s="4">
        <f>903837.7+279003.27+10161.42</f>
        <v>1193002.39</v>
      </c>
      <c r="Q8" s="4">
        <f aca="true" t="shared" si="1" ref="Q8:Q14">SUM(I8-O8)</f>
        <v>31214.92000000016</v>
      </c>
      <c r="S8" s="4"/>
      <c r="U8" s="65"/>
      <c r="X8" s="4"/>
    </row>
    <row r="9" spans="4:24" ht="12.75">
      <c r="D9" t="s">
        <v>2</v>
      </c>
      <c r="G9" s="4"/>
      <c r="I9" s="4">
        <v>30220.89</v>
      </c>
      <c r="J9" s="4"/>
      <c r="K9" s="4">
        <v>165649.18</v>
      </c>
      <c r="L9" s="4"/>
      <c r="M9" s="4">
        <f t="shared" si="0"/>
        <v>-135428.28999999998</v>
      </c>
      <c r="O9" s="4">
        <v>21606.45</v>
      </c>
      <c r="Q9" s="4">
        <f t="shared" si="1"/>
        <v>8614.439999999999</v>
      </c>
      <c r="S9" s="4"/>
      <c r="U9" s="65"/>
      <c r="X9" s="4"/>
    </row>
    <row r="10" spans="4:24" ht="12.75">
      <c r="D10" t="s">
        <v>3</v>
      </c>
      <c r="G10" s="4"/>
      <c r="I10" s="4">
        <v>61082.8</v>
      </c>
      <c r="J10" s="4"/>
      <c r="K10" s="4">
        <v>53786.76</v>
      </c>
      <c r="L10" s="4"/>
      <c r="M10" s="4">
        <f t="shared" si="0"/>
        <v>7296.040000000001</v>
      </c>
      <c r="O10" s="4">
        <v>78543.27</v>
      </c>
      <c r="Q10" s="4">
        <f t="shared" si="1"/>
        <v>-17460.47</v>
      </c>
      <c r="S10" s="4"/>
      <c r="U10" s="65"/>
      <c r="X10" s="4"/>
    </row>
    <row r="11" spans="4:24" ht="12.75">
      <c r="D11" t="s">
        <v>31</v>
      </c>
      <c r="G11" s="4"/>
      <c r="I11" s="4">
        <f>574.99+79277</f>
        <v>79851.99</v>
      </c>
      <c r="J11" s="4"/>
      <c r="K11" s="4">
        <f>10392.28+40075</f>
        <v>50467.28</v>
      </c>
      <c r="L11" s="4"/>
      <c r="M11" s="4">
        <f t="shared" si="0"/>
        <v>29384.710000000006</v>
      </c>
      <c r="O11" s="4">
        <f>488.68+94166.66</f>
        <v>94655.34</v>
      </c>
      <c r="Q11" s="4">
        <f t="shared" si="1"/>
        <v>-14803.349999999991</v>
      </c>
      <c r="S11" s="4"/>
      <c r="U11" s="65"/>
      <c r="X11" s="4"/>
    </row>
    <row r="12" spans="4:24" ht="12.75">
      <c r="D12" t="s">
        <v>30</v>
      </c>
      <c r="G12" s="4"/>
      <c r="I12" s="4">
        <v>7803.5</v>
      </c>
      <c r="J12" s="4"/>
      <c r="K12" s="4">
        <v>3594.04</v>
      </c>
      <c r="L12" s="4"/>
      <c r="M12" s="4">
        <f t="shared" si="0"/>
        <v>4209.46</v>
      </c>
      <c r="O12" s="4">
        <v>3516.98</v>
      </c>
      <c r="Q12" s="4">
        <f t="shared" si="1"/>
        <v>4286.52</v>
      </c>
      <c r="S12" s="4"/>
      <c r="U12" s="65"/>
      <c r="X12" s="4"/>
    </row>
    <row r="13" spans="4:24" ht="12.75">
      <c r="D13" t="s">
        <v>29</v>
      </c>
      <c r="G13" s="4"/>
      <c r="I13" s="4">
        <f>25509.96+6616.32</f>
        <v>32126.28</v>
      </c>
      <c r="J13" s="4"/>
      <c r="K13" s="4">
        <f>343.21+7340.53</f>
        <v>7683.74</v>
      </c>
      <c r="L13" s="4"/>
      <c r="M13" s="4">
        <f t="shared" si="0"/>
        <v>24442.54</v>
      </c>
      <c r="O13" s="4">
        <v>6781.03</v>
      </c>
      <c r="Q13" s="4">
        <f t="shared" si="1"/>
        <v>25345.25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1435302.77</v>
      </c>
      <c r="J16" s="5"/>
      <c r="K16" s="5">
        <f>SUM(K8:K14)</f>
        <v>1494839.92</v>
      </c>
      <c r="L16" s="5"/>
      <c r="M16" s="5">
        <f>SUM(M8:M14)</f>
        <v>-59537.14999999983</v>
      </c>
      <c r="N16" s="5"/>
      <c r="O16" s="5">
        <f>SUM(O8:O14)</f>
        <v>1398105.46</v>
      </c>
      <c r="Q16" s="5">
        <f>SUM(Q8:Q14)</f>
        <v>37197.31000000017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1435302.77</v>
      </c>
      <c r="J19" s="61"/>
      <c r="K19" s="61">
        <f>K16</f>
        <v>1494839.92</v>
      </c>
      <c r="L19" s="61"/>
      <c r="M19" s="61">
        <f>M16</f>
        <v>-59537.14999999983</v>
      </c>
      <c r="O19" s="61">
        <f>O16</f>
        <v>1398105.46</v>
      </c>
      <c r="Q19" s="62">
        <f>SUM(I19-O19)</f>
        <v>37197.310000000056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144083.3</v>
      </c>
      <c r="J23" s="4"/>
      <c r="K23" s="4">
        <v>158250</v>
      </c>
      <c r="L23" s="4"/>
      <c r="M23" s="4">
        <f aca="true" t="shared" si="2" ref="M23:M29">SUM(K23-I23)</f>
        <v>14166.700000000012</v>
      </c>
      <c r="O23" s="4">
        <v>145990</v>
      </c>
      <c r="Q23" s="4">
        <f aca="true" t="shared" si="3" ref="Q23:Q32">SUM(O23-I23)</f>
        <v>1906.7000000000116</v>
      </c>
      <c r="S23" s="4"/>
      <c r="U23" s="65"/>
      <c r="X23" s="4"/>
    </row>
    <row r="24" spans="3:24" ht="12.75">
      <c r="C24" t="s">
        <v>9</v>
      </c>
      <c r="G24" s="4"/>
      <c r="I24" s="4">
        <f>58677.1+293896.4+2346.7+55225+46263.15+124.11</f>
        <v>456532.46</v>
      </c>
      <c r="J24" s="4"/>
      <c r="K24" s="4">
        <f>56173+292031.81+2235+51016.1+49156.02</f>
        <v>450611.93</v>
      </c>
      <c r="L24" s="4"/>
      <c r="M24" s="4">
        <f t="shared" si="2"/>
        <v>-5920.530000000028</v>
      </c>
      <c r="O24" s="4">
        <f>53239.84+330349.89+2458.5+56117.71+62848.82</f>
        <v>505014.76</v>
      </c>
      <c r="Q24" s="4">
        <f t="shared" si="3"/>
        <v>48482.29999999999</v>
      </c>
      <c r="S24" s="4"/>
      <c r="U24" s="65"/>
      <c r="X24" s="4"/>
    </row>
    <row r="25" spans="3:24" ht="12.75">
      <c r="C25" s="3" t="s">
        <v>106</v>
      </c>
      <c r="G25" s="4"/>
      <c r="I25" s="4">
        <v>91316.68</v>
      </c>
      <c r="J25" s="4"/>
      <c r="K25" s="4">
        <v>106673.13</v>
      </c>
      <c r="L25" s="4"/>
      <c r="M25" s="4">
        <f t="shared" si="2"/>
        <v>15356.450000000012</v>
      </c>
      <c r="O25" s="4">
        <v>113756.55</v>
      </c>
      <c r="Q25" s="4">
        <f t="shared" si="3"/>
        <v>22439.87000000001</v>
      </c>
      <c r="S25" s="4"/>
      <c r="U25" s="65"/>
      <c r="X25" s="4"/>
    </row>
    <row r="26" spans="3:24" ht="12.75">
      <c r="C26" t="s">
        <v>33</v>
      </c>
      <c r="G26" s="4"/>
      <c r="I26" s="4">
        <f>90992.85+13860.86+4978.69+13505.13</f>
        <v>123337.53000000001</v>
      </c>
      <c r="J26" s="4" t="s">
        <v>18</v>
      </c>
      <c r="K26" s="4">
        <f>96207.47+18846.15+5780.66+11467.41</f>
        <v>132301.69</v>
      </c>
      <c r="L26" s="4"/>
      <c r="M26" s="4">
        <f t="shared" si="2"/>
        <v>8964.159999999989</v>
      </c>
      <c r="O26" s="4">
        <f>99277.55+30881.39+8199.24+20960.36</f>
        <v>159318.53999999998</v>
      </c>
      <c r="Q26" s="4">
        <f t="shared" si="3"/>
        <v>35981.009999999966</v>
      </c>
      <c r="S26" s="4"/>
      <c r="U26" s="65"/>
      <c r="X26" s="4"/>
    </row>
    <row r="27" spans="3:24" ht="12.75">
      <c r="C27" t="s">
        <v>10</v>
      </c>
      <c r="G27" s="4"/>
      <c r="I27" s="4">
        <v>43626.86</v>
      </c>
      <c r="J27" s="4"/>
      <c r="K27" s="4">
        <v>35639.09</v>
      </c>
      <c r="L27" s="4"/>
      <c r="M27" s="4">
        <f t="shared" si="2"/>
        <v>-7987.770000000004</v>
      </c>
      <c r="O27" s="4">
        <v>83457.72</v>
      </c>
      <c r="Q27" s="4">
        <f t="shared" si="3"/>
        <v>39830.86</v>
      </c>
      <c r="S27" s="4"/>
      <c r="U27" s="65"/>
      <c r="X27" s="4"/>
    </row>
    <row r="28" spans="3:24" ht="12.75">
      <c r="C28" t="s">
        <v>11</v>
      </c>
      <c r="G28" s="4"/>
      <c r="I28" s="4">
        <v>7777.01</v>
      </c>
      <c r="J28" s="4"/>
      <c r="K28" s="4">
        <v>8157.39</v>
      </c>
      <c r="L28" s="4"/>
      <c r="M28" s="4">
        <f t="shared" si="2"/>
        <v>380.3800000000001</v>
      </c>
      <c r="O28" s="4">
        <v>13177.29</v>
      </c>
      <c r="Q28" s="4">
        <f t="shared" si="3"/>
        <v>5400.280000000001</v>
      </c>
      <c r="S28" s="4"/>
      <c r="U28" s="65"/>
      <c r="X28" s="4"/>
    </row>
    <row r="29" spans="3:24" ht="12.75">
      <c r="C29" s="3" t="s">
        <v>40</v>
      </c>
      <c r="G29" s="4"/>
      <c r="I29" s="4">
        <f>59063.43+5512.88+4373.51</f>
        <v>68949.81999999999</v>
      </c>
      <c r="J29" s="4"/>
      <c r="K29" s="4">
        <f>78209.77+5874.2+10077.49</f>
        <v>94161.46</v>
      </c>
      <c r="L29" s="4"/>
      <c r="M29" s="4">
        <f t="shared" si="2"/>
        <v>25211.640000000014</v>
      </c>
      <c r="O29" s="4">
        <f>153864.45+31736.24+29654.35</f>
        <v>215255.04</v>
      </c>
      <c r="Q29" s="4">
        <f t="shared" si="3"/>
        <v>146305.22000000003</v>
      </c>
      <c r="S29" s="4"/>
      <c r="U29" s="65"/>
      <c r="X29" s="4"/>
    </row>
    <row r="30" spans="3:24" ht="12.75">
      <c r="C30" s="47" t="s">
        <v>41</v>
      </c>
      <c r="G30" s="4"/>
      <c r="I30" s="4">
        <f>32554.94+10731.5+22895.32</f>
        <v>66181.76000000001</v>
      </c>
      <c r="J30" s="4"/>
      <c r="K30" s="4">
        <f>28308.55+11051.24+23922.94</f>
        <v>63282.729999999996</v>
      </c>
      <c r="L30" s="4"/>
      <c r="M30" s="4">
        <f>SUM(K30-I30)</f>
        <v>-2899.0300000000134</v>
      </c>
      <c r="O30" s="4">
        <f>33832.4+10340.45+32210.95</f>
        <v>76383.8</v>
      </c>
      <c r="Q30" s="4">
        <f t="shared" si="3"/>
        <v>10202.039999999994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 t="shared" si="3"/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 t="shared" si="3"/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1001805.4199999999</v>
      </c>
      <c r="J34" s="5"/>
      <c r="K34" s="5">
        <f>SUM(K23:K32)</f>
        <v>1049077.42</v>
      </c>
      <c r="L34" s="5"/>
      <c r="M34" s="5">
        <f>SUM(M23:M32)</f>
        <v>47271.999999999985</v>
      </c>
      <c r="N34" s="4"/>
      <c r="O34" s="5">
        <f>SUM(O23:O32)</f>
        <v>1312353.7000000002</v>
      </c>
      <c r="Q34" s="5">
        <f>SUM(Q23:Q32)</f>
        <v>310548.27999999997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109750</v>
      </c>
      <c r="J37" s="4"/>
      <c r="K37" s="4">
        <v>131000</v>
      </c>
      <c r="L37" s="4"/>
      <c r="M37" s="4">
        <f>SUM(K37-I37)</f>
        <v>21250</v>
      </c>
      <c r="O37" s="4">
        <v>117750</v>
      </c>
      <c r="Q37" s="4">
        <f>SUM(O37-I37)</f>
        <v>8000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109750</v>
      </c>
      <c r="J39" s="5"/>
      <c r="K39" s="5">
        <f>SUM(K37:K37)</f>
        <v>131000</v>
      </c>
      <c r="L39" s="5"/>
      <c r="M39" s="4">
        <f>SUM(K39-I39)</f>
        <v>21250</v>
      </c>
      <c r="N39" s="5"/>
      <c r="O39" s="5">
        <f>SUM(O37:O37)</f>
        <v>117750</v>
      </c>
      <c r="Q39" s="4">
        <f>SUM(O39-I39)</f>
        <v>8000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1111555.42</v>
      </c>
      <c r="J41" s="61"/>
      <c r="K41" s="61">
        <f>K34+K39</f>
        <v>1180077.42</v>
      </c>
      <c r="L41" s="61"/>
      <c r="M41" s="61">
        <f>M34+M39</f>
        <v>68521.99999999999</v>
      </c>
      <c r="O41" s="61">
        <f>O34+O39</f>
        <v>1430103.7000000002</v>
      </c>
      <c r="Q41" s="61">
        <f>Q34+Q39</f>
        <v>318548.27999999997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323747.3500000001</v>
      </c>
      <c r="J43" s="62"/>
      <c r="K43" s="62">
        <f>K19-K41</f>
        <v>314762.5</v>
      </c>
      <c r="L43" s="62"/>
      <c r="M43" s="62">
        <f>SUM(M41+M19)</f>
        <v>8984.850000000159</v>
      </c>
      <c r="O43" s="62">
        <f>O19-O41</f>
        <v>-31998.240000000224</v>
      </c>
      <c r="Q43" s="62">
        <f>Q19+Q41</f>
        <v>355745.59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42012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44</v>
      </c>
      <c r="J5" s="23"/>
      <c r="K5" s="23" t="s">
        <v>45</v>
      </c>
      <c r="L5" s="23"/>
      <c r="M5" s="26" t="s">
        <v>27</v>
      </c>
      <c r="O5" s="23" t="s">
        <v>44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562432.43+141868.26+6200</f>
        <v>710500.6900000001</v>
      </c>
      <c r="J8" s="4"/>
      <c r="K8" s="4">
        <v>692304</v>
      </c>
      <c r="L8" s="4"/>
      <c r="M8" s="4">
        <f aca="true" t="shared" si="0" ref="M8:M14">SUM(I8-K8)</f>
        <v>18196.69000000006</v>
      </c>
      <c r="O8" s="4">
        <f>544034.91+136478.72+4787</f>
        <v>685300.63</v>
      </c>
      <c r="Q8" s="4">
        <f aca="true" t="shared" si="1" ref="Q8:Q14">SUM(I8-O8)</f>
        <v>25200.060000000056</v>
      </c>
      <c r="S8" s="4"/>
      <c r="X8" s="4"/>
    </row>
    <row r="9" spans="4:24" ht="12.75">
      <c r="D9" t="s">
        <v>2</v>
      </c>
      <c r="G9" s="4"/>
      <c r="I9" s="4">
        <f>262113.33-258665.88</f>
        <v>3447.4499999999825</v>
      </c>
      <c r="J9" s="4"/>
      <c r="K9" s="4">
        <v>5500</v>
      </c>
      <c r="L9" s="4"/>
      <c r="M9" s="4">
        <f t="shared" si="0"/>
        <v>-2052.5500000000175</v>
      </c>
      <c r="O9" s="4">
        <f>266855.69-264369.01</f>
        <v>2486.679999999993</v>
      </c>
      <c r="Q9" s="4">
        <f t="shared" si="1"/>
        <v>960.7699999999895</v>
      </c>
      <c r="S9" s="4"/>
      <c r="X9" s="4"/>
    </row>
    <row r="10" spans="4:24" ht="12.75">
      <c r="D10" t="s">
        <v>3</v>
      </c>
      <c r="G10" s="4"/>
      <c r="I10" s="4">
        <v>54727.8</v>
      </c>
      <c r="J10" s="4"/>
      <c r="K10" s="4">
        <v>49438.2</v>
      </c>
      <c r="L10" s="4"/>
      <c r="M10" s="4">
        <f t="shared" si="0"/>
        <v>5289.600000000006</v>
      </c>
      <c r="O10" s="4">
        <f>54307.86</f>
        <v>54307.86</v>
      </c>
      <c r="Q10" s="4">
        <f t="shared" si="1"/>
        <v>419.9400000000023</v>
      </c>
      <c r="S10" s="4"/>
      <c r="X10" s="4"/>
    </row>
    <row r="11" spans="4:24" ht="12.75">
      <c r="D11" t="s">
        <v>31</v>
      </c>
      <c r="G11" s="4"/>
      <c r="I11" s="4">
        <f>14501.08</f>
        <v>14501.08</v>
      </c>
      <c r="J11" s="4"/>
      <c r="K11" s="4">
        <f>13064.01</f>
        <v>13064.01</v>
      </c>
      <c r="L11" s="4"/>
      <c r="M11" s="4">
        <f t="shared" si="0"/>
        <v>1437.0699999999997</v>
      </c>
      <c r="O11" s="4">
        <f>13406.37</f>
        <v>13406.37</v>
      </c>
      <c r="Q11" s="4">
        <f t="shared" si="1"/>
        <v>1094.7099999999991</v>
      </c>
      <c r="S11" s="4"/>
      <c r="X11" s="4"/>
    </row>
    <row r="12" spans="4:24" ht="12.75">
      <c r="D12" t="s">
        <v>30</v>
      </c>
      <c r="G12" s="4"/>
      <c r="I12" s="4">
        <f>6059.33</f>
        <v>6059.33</v>
      </c>
      <c r="J12" s="4"/>
      <c r="K12" s="4">
        <f>6108.38</f>
        <v>6108.38</v>
      </c>
      <c r="L12" s="4"/>
      <c r="M12" s="4">
        <f t="shared" si="0"/>
        <v>-49.05000000000018</v>
      </c>
      <c r="O12" s="4">
        <f>6122.21</f>
        <v>6122.21</v>
      </c>
      <c r="Q12" s="4">
        <f t="shared" si="1"/>
        <v>-62.88000000000011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789236.35</v>
      </c>
      <c r="J16" s="5"/>
      <c r="K16" s="5">
        <f>SUM(K8:K14)</f>
        <v>766414.59</v>
      </c>
      <c r="L16" s="5"/>
      <c r="M16" s="5">
        <f>SUM(M8:M14)</f>
        <v>22821.76000000005</v>
      </c>
      <c r="N16" s="5"/>
      <c r="O16" s="5">
        <f>SUM(O8:O14)</f>
        <v>761623.75</v>
      </c>
      <c r="Q16" s="5">
        <f>SUM(Q8:Q14)</f>
        <v>27612.600000000046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789236.35</v>
      </c>
      <c r="J19" s="55"/>
      <c r="K19" s="55">
        <f>K16</f>
        <v>766414.59</v>
      </c>
      <c r="L19" s="55"/>
      <c r="M19" s="55">
        <f>M16</f>
        <v>22821.76000000005</v>
      </c>
      <c r="N19" s="54"/>
      <c r="O19" s="55">
        <f>O16</f>
        <v>761623.75</v>
      </c>
      <c r="P19" s="54"/>
      <c r="Q19" s="56">
        <f>SUM(I19-O19)</f>
        <v>27612.599999999977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75750</f>
        <v>75750</v>
      </c>
      <c r="J23" s="4"/>
      <c r="K23" s="4">
        <f>70699.98</f>
        <v>70699.98</v>
      </c>
      <c r="L23" s="4"/>
      <c r="M23" s="4">
        <f aca="true" t="shared" si="2" ref="M23:M29">SUM(K23-I23)</f>
        <v>-5050.020000000004</v>
      </c>
      <c r="O23" s="4">
        <f>75731.5</f>
        <v>75731.5</v>
      </c>
      <c r="Q23" s="4">
        <f aca="true" t="shared" si="3" ref="Q23:Q29">SUM(O23-I23)</f>
        <v>-18.5</v>
      </c>
      <c r="S23" s="4"/>
      <c r="X23" s="4"/>
    </row>
    <row r="24" spans="3:24" ht="12.75">
      <c r="C24" t="s">
        <v>9</v>
      </c>
      <c r="G24" s="4"/>
      <c r="I24" s="4">
        <f>33146.79+194457.07+20078.06+29463.22</f>
        <v>277145.14</v>
      </c>
      <c r="J24" s="4"/>
      <c r="K24" s="4">
        <v>268940</v>
      </c>
      <c r="L24" s="4"/>
      <c r="M24" s="4">
        <f t="shared" si="2"/>
        <v>-8205.140000000014</v>
      </c>
      <c r="O24" s="4">
        <f>34254.44+196158.31+19750.5+22253.86</f>
        <v>272417.11</v>
      </c>
      <c r="Q24" s="4">
        <f t="shared" si="3"/>
        <v>-4728.030000000028</v>
      </c>
      <c r="S24" s="4"/>
      <c r="X24" s="4"/>
    </row>
    <row r="25" spans="3:24" ht="12.75">
      <c r="C25" s="3" t="s">
        <v>12</v>
      </c>
      <c r="G25" s="4"/>
      <c r="I25" s="4">
        <f>60657.19</f>
        <v>60657.19</v>
      </c>
      <c r="J25" s="4"/>
      <c r="K25" s="4">
        <v>48073</v>
      </c>
      <c r="L25" s="4"/>
      <c r="M25" s="4">
        <f t="shared" si="2"/>
        <v>-12584.190000000002</v>
      </c>
      <c r="O25" s="4">
        <f>51550.38</f>
        <v>51550.38</v>
      </c>
      <c r="Q25" s="4">
        <f t="shared" si="3"/>
        <v>-9106.810000000005</v>
      </c>
      <c r="S25" s="4"/>
      <c r="X25" s="4"/>
    </row>
    <row r="26" spans="3:24" ht="12.75">
      <c r="C26" t="s">
        <v>33</v>
      </c>
      <c r="G26" s="4"/>
      <c r="I26" s="4">
        <f>7007.69+18711.1+4349+16195.38</f>
        <v>46263.17</v>
      </c>
      <c r="J26" s="4" t="s">
        <v>18</v>
      </c>
      <c r="K26" s="4">
        <v>45345</v>
      </c>
      <c r="L26" s="4"/>
      <c r="M26" s="4">
        <f t="shared" si="2"/>
        <v>-918.1699999999983</v>
      </c>
      <c r="O26" s="4">
        <f>5396.7+16693.3+5775.95+15645.72</f>
        <v>43511.67</v>
      </c>
      <c r="Q26" s="4">
        <f t="shared" si="3"/>
        <v>-2751.5</v>
      </c>
      <c r="S26" s="4"/>
      <c r="X26" s="4"/>
    </row>
    <row r="27" spans="3:24" ht="12.75">
      <c r="C27" t="s">
        <v>10</v>
      </c>
      <c r="G27" s="4"/>
      <c r="I27" s="4">
        <f>52334.95</f>
        <v>52334.95</v>
      </c>
      <c r="J27" s="4"/>
      <c r="K27" s="4">
        <f>38132.29</f>
        <v>38132.29</v>
      </c>
      <c r="L27" s="4"/>
      <c r="M27" s="4">
        <f t="shared" si="2"/>
        <v>-14202.659999999996</v>
      </c>
      <c r="O27" s="4">
        <v>41262.98</v>
      </c>
      <c r="Q27" s="4">
        <f t="shared" si="3"/>
        <v>-11071.969999999994</v>
      </c>
      <c r="S27" s="4"/>
      <c r="X27" s="4"/>
    </row>
    <row r="28" spans="3:24" ht="12.75">
      <c r="C28" t="s">
        <v>11</v>
      </c>
      <c r="G28" s="4"/>
      <c r="I28" s="4">
        <f>10887.21</f>
        <v>10887.21</v>
      </c>
      <c r="J28" s="4"/>
      <c r="K28" s="4">
        <f>9760.8</f>
        <v>9760.8</v>
      </c>
      <c r="L28" s="4"/>
      <c r="M28" s="4">
        <f t="shared" si="2"/>
        <v>-1126.4099999999999</v>
      </c>
      <c r="O28" s="4">
        <f>6952.83</f>
        <v>6952.83</v>
      </c>
      <c r="Q28" s="4">
        <f t="shared" si="3"/>
        <v>-3934.379999999999</v>
      </c>
      <c r="S28" s="4"/>
      <c r="X28" s="4"/>
    </row>
    <row r="29" spans="3:24" ht="12.75">
      <c r="C29" s="3" t="s">
        <v>40</v>
      </c>
      <c r="G29" s="4"/>
      <c r="I29" s="4">
        <f>51427.73+21029.79</f>
        <v>72457.52</v>
      </c>
      <c r="J29" s="4"/>
      <c r="K29" s="4">
        <f>42674.52+17763.98</f>
        <v>60438.5</v>
      </c>
      <c r="L29" s="4"/>
      <c r="M29" s="4">
        <f t="shared" si="2"/>
        <v>-12019.020000000004</v>
      </c>
      <c r="O29" s="4">
        <f>55528.89+22789.53</f>
        <v>78318.42</v>
      </c>
      <c r="Q29" s="4">
        <f t="shared" si="3"/>
        <v>5860.899999999994</v>
      </c>
      <c r="S29" s="4"/>
      <c r="X29" s="4"/>
    </row>
    <row r="30" spans="3:24" ht="12.75">
      <c r="C30" s="47" t="s">
        <v>41</v>
      </c>
      <c r="G30" s="4"/>
      <c r="I30" s="4">
        <f>63787.73</f>
        <v>63787.73</v>
      </c>
      <c r="J30" s="4"/>
      <c r="K30" s="4">
        <v>65067</v>
      </c>
      <c r="L30" s="4"/>
      <c r="M30" s="4">
        <f>SUM(K30-I30)</f>
        <v>1279.2699999999968</v>
      </c>
      <c r="O30" s="4">
        <f>69204.23</f>
        <v>69204.23</v>
      </c>
      <c r="Q30" s="4">
        <f>SUM(O30-I30)</f>
        <v>5416.499999999993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21005.82</f>
        <v>21005.82</v>
      </c>
      <c r="L31" s="4"/>
      <c r="M31" s="4">
        <f>SUM(K31-I31)</f>
        <v>21005.41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30586.2+11800</f>
        <v>42386.2</v>
      </c>
      <c r="L32" s="39"/>
      <c r="M32" s="4">
        <f>SUM(K32-I32)</f>
        <v>42386.2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659283.3200000001</v>
      </c>
      <c r="J34" s="5"/>
      <c r="K34" s="5">
        <f>SUM(K23:K32)</f>
        <v>669848.5899999999</v>
      </c>
      <c r="L34" s="5"/>
      <c r="M34" s="5">
        <f>SUM(M23:M32)</f>
        <v>10565.269999999979</v>
      </c>
      <c r="N34" s="4"/>
      <c r="O34" s="5">
        <f>SUM(O23:O32)</f>
        <v>638949.12</v>
      </c>
      <c r="Q34" s="5">
        <f>SUM(Q23:Q32)</f>
        <v>-20334.200000000037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68321.5</f>
        <v>68321.5</v>
      </c>
      <c r="J37" s="4"/>
      <c r="K37" s="4">
        <f>78534</f>
        <v>78534</v>
      </c>
      <c r="L37" s="4"/>
      <c r="M37" s="4">
        <f>SUM(K37-I37)</f>
        <v>10212.5</v>
      </c>
      <c r="O37" s="4">
        <f>102486.33</f>
        <v>102486.33</v>
      </c>
      <c r="Q37" s="4">
        <f>SUM(O37-I37)</f>
        <v>34164.83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68321.5</v>
      </c>
      <c r="J39" s="10"/>
      <c r="K39" s="10">
        <f>SUM(K37:K37)</f>
        <v>78534</v>
      </c>
      <c r="L39" s="10"/>
      <c r="M39" s="4">
        <f>SUM(K39-I39)</f>
        <v>10212.5</v>
      </c>
      <c r="N39" s="10"/>
      <c r="O39" s="10">
        <f>SUM(O37:O37)</f>
        <v>102486.33</v>
      </c>
      <c r="Q39" s="4">
        <f>SUM(O39-I39)</f>
        <v>34164.83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727604.8200000001</v>
      </c>
      <c r="J41" s="55"/>
      <c r="K41" s="55">
        <f>K34+K39</f>
        <v>748382.5899999999</v>
      </c>
      <c r="L41" s="55"/>
      <c r="M41" s="55">
        <f>M34+M39</f>
        <v>20777.76999999998</v>
      </c>
      <c r="N41" s="54"/>
      <c r="O41" s="55">
        <f>O34+O39</f>
        <v>741435.45</v>
      </c>
      <c r="P41" s="54"/>
      <c r="Q41" s="55">
        <f>Q34+Q39</f>
        <v>13830.629999999965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61631.52999999991</v>
      </c>
      <c r="J43" s="28"/>
      <c r="K43" s="28">
        <f>K19-K41</f>
        <v>18032.000000000116</v>
      </c>
      <c r="L43" s="28"/>
      <c r="M43" s="28">
        <f>SUM(M41+M19)</f>
        <v>43599.53000000003</v>
      </c>
      <c r="N43" s="34"/>
      <c r="O43" s="28">
        <f>O19-O41</f>
        <v>20188.300000000047</v>
      </c>
      <c r="P43" s="34"/>
      <c r="Q43" s="28">
        <f>Q19+Q41</f>
        <v>41443.22999999994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44742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134</v>
      </c>
      <c r="J5" s="23"/>
      <c r="K5" s="23" t="s">
        <v>115</v>
      </c>
      <c r="L5" s="23"/>
      <c r="M5" s="26" t="s">
        <v>27</v>
      </c>
      <c r="O5" s="23" t="s">
        <v>134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1143304.21+332181.23+25475</f>
        <v>1500960.44</v>
      </c>
      <c r="J8" s="4"/>
      <c r="K8" s="4">
        <f>1073286.33+342363.98+14890</f>
        <v>1430540.31</v>
      </c>
      <c r="L8" s="4"/>
      <c r="M8" s="4">
        <f aca="true" t="shared" si="0" ref="M8:M14">SUM(I8-K8)</f>
        <v>70420.12999999989</v>
      </c>
      <c r="O8" s="4">
        <f>1070308.39+296799.3+12150</f>
        <v>1379257.69</v>
      </c>
      <c r="Q8" s="4">
        <f aca="true" t="shared" si="1" ref="Q8:Q14">SUM(I8-O8)</f>
        <v>121702.75</v>
      </c>
      <c r="S8" s="4"/>
      <c r="U8" s="65"/>
      <c r="X8" s="4"/>
    </row>
    <row r="9" spans="4:24" ht="12.75">
      <c r="D9" t="s">
        <v>2</v>
      </c>
      <c r="G9" s="4"/>
      <c r="I9" s="4">
        <v>58688.56</v>
      </c>
      <c r="J9" s="4"/>
      <c r="K9" s="4">
        <v>200424.42</v>
      </c>
      <c r="L9" s="4"/>
      <c r="M9" s="4">
        <f t="shared" si="0"/>
        <v>-141735.86000000002</v>
      </c>
      <c r="O9" s="4">
        <v>52249.47</v>
      </c>
      <c r="Q9" s="4">
        <f t="shared" si="1"/>
        <v>6439.0899999999965</v>
      </c>
      <c r="S9" s="4"/>
      <c r="U9" s="65"/>
      <c r="X9" s="4"/>
    </row>
    <row r="10" spans="4:24" ht="12.75">
      <c r="D10" t="s">
        <v>3</v>
      </c>
      <c r="G10" s="4"/>
      <c r="I10" s="4">
        <v>68892.8</v>
      </c>
      <c r="J10" s="4"/>
      <c r="K10" s="4">
        <v>54189.76</v>
      </c>
      <c r="L10" s="4"/>
      <c r="M10" s="4">
        <f t="shared" si="0"/>
        <v>14703.04</v>
      </c>
      <c r="O10" s="4">
        <v>83120.4</v>
      </c>
      <c r="Q10" s="4">
        <f t="shared" si="1"/>
        <v>-14227.599999999991</v>
      </c>
      <c r="S10" s="4"/>
      <c r="U10" s="65"/>
      <c r="X10" s="4"/>
    </row>
    <row r="11" spans="4:24" ht="12.75">
      <c r="D11" t="s">
        <v>31</v>
      </c>
      <c r="G11" s="4"/>
      <c r="I11" s="4">
        <f>684.64+86377</f>
        <v>87061.64</v>
      </c>
      <c r="J11" s="4"/>
      <c r="K11" s="4">
        <f>10632.91+47625</f>
        <v>58257.91</v>
      </c>
      <c r="L11" s="4"/>
      <c r="M11" s="4">
        <f t="shared" si="0"/>
        <v>28803.729999999996</v>
      </c>
      <c r="O11" s="4">
        <f>500+113000</f>
        <v>113500</v>
      </c>
      <c r="Q11" s="4">
        <f t="shared" si="1"/>
        <v>-26438.36</v>
      </c>
      <c r="S11" s="4"/>
      <c r="U11" s="65"/>
      <c r="X11" s="4"/>
    </row>
    <row r="12" spans="4:24" ht="12.75">
      <c r="D12" t="s">
        <v>30</v>
      </c>
      <c r="G12" s="4"/>
      <c r="I12" s="4">
        <v>8533.33</v>
      </c>
      <c r="J12" s="4"/>
      <c r="K12" s="4">
        <v>8246.12</v>
      </c>
      <c r="L12" s="4"/>
      <c r="M12" s="4">
        <f t="shared" si="0"/>
        <v>287.2099999999991</v>
      </c>
      <c r="O12" s="4">
        <v>8220.74</v>
      </c>
      <c r="Q12" s="4">
        <f t="shared" si="1"/>
        <v>312.59000000000015</v>
      </c>
      <c r="S12" s="4"/>
      <c r="U12" s="65"/>
      <c r="X12" s="4"/>
    </row>
    <row r="13" spans="4:24" ht="12.75">
      <c r="D13" t="s">
        <v>29</v>
      </c>
      <c r="G13" s="4"/>
      <c r="I13" s="4">
        <f>25509.96+29441.7</f>
        <v>54951.66</v>
      </c>
      <c r="J13" s="4"/>
      <c r="K13" s="4">
        <f>343.21+154746.88</f>
        <v>155090.09</v>
      </c>
      <c r="L13" s="4"/>
      <c r="M13" s="4">
        <f t="shared" si="0"/>
        <v>-100138.43</v>
      </c>
      <c r="O13" s="4">
        <v>37000</v>
      </c>
      <c r="Q13" s="4">
        <f t="shared" si="1"/>
        <v>17951.660000000003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1779088.43</v>
      </c>
      <c r="J16" s="5"/>
      <c r="K16" s="5">
        <f>SUM(K8:K14)</f>
        <v>1906748.61</v>
      </c>
      <c r="L16" s="5"/>
      <c r="M16" s="5">
        <f>SUM(M8:M14)</f>
        <v>-127660.18000000012</v>
      </c>
      <c r="N16" s="5"/>
      <c r="O16" s="5">
        <f>SUM(O8:O14)</f>
        <v>1673348.2999999998</v>
      </c>
      <c r="Q16" s="5">
        <f>SUM(Q8:Q14)</f>
        <v>105740.13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1779088.43</v>
      </c>
      <c r="J19" s="61"/>
      <c r="K19" s="61">
        <f>K16</f>
        <v>1906748.61</v>
      </c>
      <c r="L19" s="61"/>
      <c r="M19" s="61">
        <f>M16</f>
        <v>-127660.18000000012</v>
      </c>
      <c r="O19" s="61">
        <f>O16</f>
        <v>1673348.2999999998</v>
      </c>
      <c r="Q19" s="62">
        <f>SUM(I19-O19)</f>
        <v>105740.13000000012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172899.06</v>
      </c>
      <c r="J23" s="4"/>
      <c r="K23" s="4">
        <v>189900</v>
      </c>
      <c r="L23" s="4"/>
      <c r="M23" s="4">
        <f aca="true" t="shared" si="2" ref="M23:M29">SUM(K23-I23)</f>
        <v>17000.940000000002</v>
      </c>
      <c r="O23" s="4">
        <v>175188</v>
      </c>
      <c r="Q23" s="4">
        <f aca="true" t="shared" si="3" ref="Q23:Q32">SUM(O23-I23)</f>
        <v>2288.9400000000023</v>
      </c>
      <c r="S23" s="4"/>
      <c r="U23" s="65"/>
      <c r="X23" s="4"/>
    </row>
    <row r="24" spans="3:24" ht="12.75">
      <c r="C24" t="s">
        <v>9</v>
      </c>
      <c r="G24" s="4"/>
      <c r="I24" s="4">
        <f>70939.72+360170.95+2816.04+66270+49599.7</f>
        <v>549796.41</v>
      </c>
      <c r="J24" s="4"/>
      <c r="K24" s="4">
        <f>67040.62+340063.14+2682+61219.32+51521.91</f>
        <v>522526.99</v>
      </c>
      <c r="L24" s="4"/>
      <c r="M24" s="4">
        <f t="shared" si="2"/>
        <v>-27269.420000000042</v>
      </c>
      <c r="O24" s="4">
        <f>64340+383355+2950.2+67341.25+69412.13</f>
        <v>587398.5800000001</v>
      </c>
      <c r="Q24" s="4">
        <f t="shared" si="3"/>
        <v>37602.17000000004</v>
      </c>
      <c r="S24" s="4"/>
      <c r="U24" s="65"/>
      <c r="X24" s="4"/>
    </row>
    <row r="25" spans="3:24" ht="12.75">
      <c r="C25" s="3" t="s">
        <v>106</v>
      </c>
      <c r="G25" s="4"/>
      <c r="I25" s="4">
        <v>110912.29</v>
      </c>
      <c r="J25" s="4"/>
      <c r="K25" s="4">
        <v>122763.99</v>
      </c>
      <c r="L25" s="4"/>
      <c r="M25" s="4">
        <f t="shared" si="2"/>
        <v>11851.700000000012</v>
      </c>
      <c r="O25" s="4">
        <v>131089.45</v>
      </c>
      <c r="Q25" s="4">
        <f t="shared" si="3"/>
        <v>20177.160000000018</v>
      </c>
      <c r="S25" s="4"/>
      <c r="U25" s="65"/>
      <c r="X25" s="4"/>
    </row>
    <row r="26" spans="3:24" ht="12.75">
      <c r="C26" t="s">
        <v>33</v>
      </c>
      <c r="G26" s="4"/>
      <c r="I26" s="4">
        <f>108908.86+17685.21+5899.09+16623.62</f>
        <v>149116.78</v>
      </c>
      <c r="J26" s="4" t="s">
        <v>18</v>
      </c>
      <c r="K26" s="4">
        <f>116003.35+19435.77+6843.66+13412.36</f>
        <v>155695.14</v>
      </c>
      <c r="L26" s="4"/>
      <c r="M26" s="4">
        <f t="shared" si="2"/>
        <v>6578.360000000015</v>
      </c>
      <c r="O26" s="4">
        <f>119620.56+32083.94+9074.01+25117.96</f>
        <v>185896.47</v>
      </c>
      <c r="Q26" s="4">
        <f t="shared" si="3"/>
        <v>36779.69</v>
      </c>
      <c r="S26" s="4"/>
      <c r="U26" s="65"/>
      <c r="X26" s="4"/>
    </row>
    <row r="27" spans="3:24" ht="12.75">
      <c r="C27" t="s">
        <v>10</v>
      </c>
      <c r="G27" s="4"/>
      <c r="I27" s="4">
        <v>50608.15</v>
      </c>
      <c r="J27" s="4"/>
      <c r="K27" s="4">
        <v>40800.4</v>
      </c>
      <c r="L27" s="4"/>
      <c r="M27" s="4">
        <f t="shared" si="2"/>
        <v>-9807.75</v>
      </c>
      <c r="O27" s="4">
        <v>97428.07</v>
      </c>
      <c r="Q27" s="4">
        <f t="shared" si="3"/>
        <v>46819.920000000006</v>
      </c>
      <c r="S27" s="4"/>
      <c r="U27" s="65"/>
      <c r="X27" s="4"/>
    </row>
    <row r="28" spans="3:24" ht="12.75">
      <c r="C28" t="s">
        <v>11</v>
      </c>
      <c r="G28" s="4"/>
      <c r="I28" s="4">
        <v>9709.77</v>
      </c>
      <c r="J28" s="4"/>
      <c r="K28" s="4">
        <v>9635.48</v>
      </c>
      <c r="L28" s="4"/>
      <c r="M28" s="4">
        <f t="shared" si="2"/>
        <v>-74.29000000000087</v>
      </c>
      <c r="O28" s="4">
        <v>15358.39</v>
      </c>
      <c r="Q28" s="4">
        <f t="shared" si="3"/>
        <v>5648.619999999999</v>
      </c>
      <c r="S28" s="4"/>
      <c r="U28" s="65"/>
      <c r="X28" s="4"/>
    </row>
    <row r="29" spans="3:24" ht="12.75">
      <c r="C29" s="3" t="s">
        <v>40</v>
      </c>
      <c r="G29" s="4"/>
      <c r="I29" s="4">
        <f>74682.77+7482.78+5090.29</f>
        <v>87255.84</v>
      </c>
      <c r="J29" s="4"/>
      <c r="K29" s="4">
        <f>93615.04+6314.08+12307.89</f>
        <v>112237.01</v>
      </c>
      <c r="L29" s="4"/>
      <c r="M29" s="4">
        <f t="shared" si="2"/>
        <v>24981.17</v>
      </c>
      <c r="O29" s="4">
        <f>180336.12+37623.6+35529.29</f>
        <v>253489.01</v>
      </c>
      <c r="Q29" s="4">
        <f t="shared" si="3"/>
        <v>166233.17</v>
      </c>
      <c r="S29" s="4"/>
      <c r="U29" s="65"/>
      <c r="X29" s="4"/>
    </row>
    <row r="30" spans="3:24" ht="12.75">
      <c r="C30" s="47" t="s">
        <v>41</v>
      </c>
      <c r="G30" s="4"/>
      <c r="I30" s="4">
        <f>40044.65+13017.18+28402.38</f>
        <v>81464.21</v>
      </c>
      <c r="J30" s="4"/>
      <c r="K30" s="4">
        <f>33628.98+13694.82+27824.74</f>
        <v>75148.54000000001</v>
      </c>
      <c r="L30" s="4"/>
      <c r="M30" s="4">
        <f>SUM(K30-I30)</f>
        <v>-6315.669999999998</v>
      </c>
      <c r="O30" s="4">
        <f>39404.8+12807.57+36713.08</f>
        <v>88925.45000000001</v>
      </c>
      <c r="Q30" s="4">
        <f t="shared" si="3"/>
        <v>7461.240000000005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 t="shared" si="3"/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 t="shared" si="3"/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1211762.51</v>
      </c>
      <c r="J34" s="5"/>
      <c r="K34" s="5">
        <f>SUM(K23:K32)</f>
        <v>1228707.55</v>
      </c>
      <c r="L34" s="5"/>
      <c r="M34" s="5">
        <f>SUM(M23:M32)</f>
        <v>16945.039999999986</v>
      </c>
      <c r="N34" s="4"/>
      <c r="O34" s="5">
        <f>SUM(O23:O32)</f>
        <v>1534773.42</v>
      </c>
      <c r="Q34" s="5">
        <f>SUM(Q23:Q32)</f>
        <v>323010.91000000003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109750</v>
      </c>
      <c r="J37" s="4"/>
      <c r="K37" s="4">
        <v>131000</v>
      </c>
      <c r="L37" s="4"/>
      <c r="M37" s="4">
        <f>SUM(K37-I37)</f>
        <v>21250</v>
      </c>
      <c r="O37" s="4">
        <v>117750</v>
      </c>
      <c r="Q37" s="4">
        <f>SUM(O37-I37)</f>
        <v>8000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109750</v>
      </c>
      <c r="J39" s="5"/>
      <c r="K39" s="5">
        <f>SUM(K37:K37)</f>
        <v>131000</v>
      </c>
      <c r="L39" s="5"/>
      <c r="M39" s="4">
        <f>SUM(K39-I39)</f>
        <v>21250</v>
      </c>
      <c r="N39" s="5"/>
      <c r="O39" s="5">
        <f>SUM(O37:O37)</f>
        <v>117750</v>
      </c>
      <c r="Q39" s="4">
        <f>SUM(O39-I39)</f>
        <v>8000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1321512.51</v>
      </c>
      <c r="J41" s="61"/>
      <c r="K41" s="61">
        <f>K34+K39</f>
        <v>1359707.55</v>
      </c>
      <c r="L41" s="61"/>
      <c r="M41" s="61">
        <f>M34+M39</f>
        <v>38195.039999999986</v>
      </c>
      <c r="O41" s="61">
        <f>O34+O39</f>
        <v>1652523.42</v>
      </c>
      <c r="Q41" s="61">
        <f>Q34+Q39</f>
        <v>331010.91000000003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457575.9199999999</v>
      </c>
      <c r="J43" s="62"/>
      <c r="K43" s="62">
        <f>K19-K41</f>
        <v>547041.06</v>
      </c>
      <c r="L43" s="62"/>
      <c r="M43" s="62">
        <f>SUM(M41+M19)</f>
        <v>-89465.14000000013</v>
      </c>
      <c r="O43" s="62">
        <f>O19-O41</f>
        <v>20824.87999999989</v>
      </c>
      <c r="Q43" s="62">
        <f>Q19+Q41</f>
        <v>436751.04000000015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6">
      <selection activeCell="I56" sqref="I56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9.140625" style="0" bestFit="1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44804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135</v>
      </c>
      <c r="J5" s="23"/>
      <c r="K5" s="23" t="s">
        <v>116</v>
      </c>
      <c r="L5" s="23"/>
      <c r="M5" s="26" t="s">
        <v>27</v>
      </c>
      <c r="O5" s="23" t="s">
        <v>135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192656.1+22516.35+1750</f>
        <v>216922.45</v>
      </c>
      <c r="J8" s="4"/>
      <c r="K8" s="4">
        <f>180336.21+21671.35+4400</f>
        <v>206407.56</v>
      </c>
      <c r="L8" s="4"/>
      <c r="M8" s="4">
        <f aca="true" t="shared" si="0" ref="M8:M14">SUM(I8-K8)</f>
        <v>10514.890000000014</v>
      </c>
      <c r="O8" s="4">
        <f>181526.91+18003.59+3276.47</f>
        <v>202806.97</v>
      </c>
      <c r="Q8" s="4">
        <f aca="true" t="shared" si="1" ref="Q8:Q14">SUM(I8-O8)</f>
        <v>14115.48000000001</v>
      </c>
      <c r="S8" s="4"/>
      <c r="U8" s="65"/>
      <c r="X8" s="4"/>
    </row>
    <row r="9" spans="4:24" ht="12.75">
      <c r="D9" t="s">
        <v>2</v>
      </c>
      <c r="G9" s="4"/>
      <c r="I9" s="4">
        <v>4377.14</v>
      </c>
      <c r="J9" s="4"/>
      <c r="K9" s="4">
        <v>12588.29</v>
      </c>
      <c r="L9" s="4"/>
      <c r="M9" s="4">
        <f t="shared" si="0"/>
        <v>-8211.150000000001</v>
      </c>
      <c r="O9" s="4">
        <v>24674.3</v>
      </c>
      <c r="Q9" s="4">
        <f t="shared" si="1"/>
        <v>-20297.16</v>
      </c>
      <c r="S9" s="4"/>
      <c r="U9" s="65"/>
      <c r="X9" s="4"/>
    </row>
    <row r="10" spans="4:24" ht="12.75">
      <c r="D10" t="s">
        <v>3</v>
      </c>
      <c r="G10" s="4"/>
      <c r="I10" s="4">
        <v>28886.16</v>
      </c>
      <c r="J10" s="4"/>
      <c r="K10" s="4">
        <v>34567</v>
      </c>
      <c r="L10" s="4"/>
      <c r="M10" s="4">
        <f t="shared" si="0"/>
        <v>-5680.84</v>
      </c>
      <c r="O10" s="4">
        <v>32031.92</v>
      </c>
      <c r="Q10" s="4">
        <f t="shared" si="1"/>
        <v>-3145.7599999999984</v>
      </c>
      <c r="S10" s="4"/>
      <c r="U10" s="65"/>
      <c r="X10" s="4"/>
    </row>
    <row r="11" spans="4:24" ht="12.75">
      <c r="D11" t="s">
        <v>31</v>
      </c>
      <c r="G11" s="4"/>
      <c r="I11" s="4">
        <f>187.64+2050</f>
        <v>2237.64</v>
      </c>
      <c r="J11" s="4"/>
      <c r="K11" s="4">
        <f>59.04+18000</f>
        <v>18059.04</v>
      </c>
      <c r="L11" s="4"/>
      <c r="M11" s="4">
        <f t="shared" si="0"/>
        <v>-15821.400000000001</v>
      </c>
      <c r="O11" s="4">
        <f>49.16+14839.69</f>
        <v>14888.85</v>
      </c>
      <c r="Q11" s="4">
        <f t="shared" si="1"/>
        <v>-12651.210000000001</v>
      </c>
      <c r="S11" s="4"/>
      <c r="U11" s="65"/>
      <c r="X11" s="4"/>
    </row>
    <row r="12" spans="4:24" ht="12.75">
      <c r="D12" t="s">
        <v>30</v>
      </c>
      <c r="G12" s="4"/>
      <c r="I12" s="4">
        <v>708.32</v>
      </c>
      <c r="J12" s="4"/>
      <c r="K12" s="4">
        <v>712.77</v>
      </c>
      <c r="L12" s="4"/>
      <c r="M12" s="4">
        <f t="shared" si="0"/>
        <v>-4.449999999999932</v>
      </c>
      <c r="O12" s="4">
        <v>702.18</v>
      </c>
      <c r="Q12" s="4">
        <f t="shared" si="1"/>
        <v>6.1400000000001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253131.71000000005</v>
      </c>
      <c r="J16" s="5"/>
      <c r="K16" s="5">
        <f>SUM(K8:K14)</f>
        <v>272334.66000000003</v>
      </c>
      <c r="L16" s="5"/>
      <c r="M16" s="5">
        <f>SUM(M8:M14)</f>
        <v>-19202.94999999999</v>
      </c>
      <c r="N16" s="5"/>
      <c r="O16" s="5">
        <f>SUM(O8:O14)</f>
        <v>275104.22</v>
      </c>
      <c r="Q16" s="5">
        <f>SUM(Q8:Q14)</f>
        <v>-21972.509999999987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253131.71000000005</v>
      </c>
      <c r="J19" s="61"/>
      <c r="K19" s="61">
        <f>K16</f>
        <v>272334.66000000003</v>
      </c>
      <c r="L19" s="61"/>
      <c r="M19" s="61">
        <f>M16</f>
        <v>-19202.94999999999</v>
      </c>
      <c r="O19" s="61">
        <f>O16</f>
        <v>275104.22</v>
      </c>
      <c r="Q19" s="62">
        <f>SUM(I19-O19)</f>
        <v>-21972.509999999922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34183.3</v>
      </c>
      <c r="J23" s="4"/>
      <c r="K23" s="4">
        <v>28816.66</v>
      </c>
      <c r="L23" s="4"/>
      <c r="M23" s="4">
        <f aca="true" t="shared" si="2" ref="M23:M29">SUM(K23-I23)</f>
        <v>-5366.640000000003</v>
      </c>
      <c r="O23" s="4">
        <v>34488.33</v>
      </c>
      <c r="Q23" s="4">
        <f aca="true" t="shared" si="3" ref="Q23:Q32">SUM(O23-I23)</f>
        <v>305.02999999999884</v>
      </c>
      <c r="S23" s="4"/>
      <c r="U23" s="65"/>
      <c r="X23" s="4"/>
    </row>
    <row r="24" spans="3:24" ht="12.75">
      <c r="C24" t="s">
        <v>9</v>
      </c>
      <c r="G24" s="4"/>
      <c r="I24" s="4">
        <f>9256.24+56469.14+492.8+11585.7+2675.76</f>
        <v>80479.64</v>
      </c>
      <c r="J24" s="4"/>
      <c r="K24" s="4">
        <f>10477.62+68814.13+469.34+11045+2256.79</f>
        <v>93062.87999999999</v>
      </c>
      <c r="L24" s="4"/>
      <c r="M24" s="4">
        <f t="shared" si="2"/>
        <v>12583.23999999999</v>
      </c>
      <c r="O24" s="4">
        <f>10339.86+69380.61+516.27+12149.5+5465.04</f>
        <v>97851.28</v>
      </c>
      <c r="Q24" s="4">
        <f t="shared" si="3"/>
        <v>17371.64</v>
      </c>
      <c r="S24" s="4"/>
      <c r="U24" s="65"/>
      <c r="X24" s="4"/>
    </row>
    <row r="25" spans="3:24" ht="12.75">
      <c r="C25" s="3" t="s">
        <v>106</v>
      </c>
      <c r="G25" s="4"/>
      <c r="I25" s="4">
        <v>25723.02</v>
      </c>
      <c r="J25" s="4"/>
      <c r="K25" s="4">
        <v>23932.26</v>
      </c>
      <c r="L25" s="4"/>
      <c r="M25" s="4">
        <f t="shared" si="2"/>
        <v>-1790.760000000002</v>
      </c>
      <c r="O25" s="4">
        <v>26312.02</v>
      </c>
      <c r="Q25" s="4">
        <f t="shared" si="3"/>
        <v>589</v>
      </c>
      <c r="S25" s="4"/>
      <c r="U25" s="65"/>
      <c r="X25" s="4"/>
    </row>
    <row r="26" spans="3:24" ht="12.75">
      <c r="C26" t="s">
        <v>33</v>
      </c>
      <c r="G26" s="4"/>
      <c r="I26" s="4">
        <f>20267.75+2086.14+222.64+5682.42</f>
        <v>28258.949999999997</v>
      </c>
      <c r="J26" s="4" t="s">
        <v>18</v>
      </c>
      <c r="K26" s="4">
        <f>17367.48+1502.22+1121.34+2834.13</f>
        <v>22825.170000000002</v>
      </c>
      <c r="L26" s="4"/>
      <c r="M26" s="4">
        <f t="shared" si="2"/>
        <v>-5433.779999999995</v>
      </c>
      <c r="O26" s="4">
        <f>18567.29+2208.32+1554.35+4616.94</f>
        <v>26946.899999999998</v>
      </c>
      <c r="Q26" s="4">
        <f t="shared" si="3"/>
        <v>-1312.0499999999993</v>
      </c>
      <c r="S26" s="4"/>
      <c r="U26" s="65"/>
      <c r="X26" s="4"/>
    </row>
    <row r="27" spans="3:24" ht="12.75">
      <c r="C27" t="s">
        <v>10</v>
      </c>
      <c r="G27" s="4"/>
      <c r="I27" s="4">
        <v>9009.5</v>
      </c>
      <c r="J27" s="4"/>
      <c r="K27" s="4">
        <v>14299.83</v>
      </c>
      <c r="L27" s="4"/>
      <c r="M27" s="4">
        <f t="shared" si="2"/>
        <v>5290.33</v>
      </c>
      <c r="O27" s="4">
        <v>26377.63</v>
      </c>
      <c r="Q27" s="4">
        <f t="shared" si="3"/>
        <v>17368.13</v>
      </c>
      <c r="S27" s="4"/>
      <c r="U27" s="65"/>
      <c r="X27" s="4"/>
    </row>
    <row r="28" spans="3:24" ht="12.75">
      <c r="C28" t="s">
        <v>11</v>
      </c>
      <c r="G28" s="4"/>
      <c r="I28" s="4">
        <v>1312.52</v>
      </c>
      <c r="J28" s="4"/>
      <c r="K28" s="4">
        <v>3524.47</v>
      </c>
      <c r="L28" s="4"/>
      <c r="M28" s="4">
        <f t="shared" si="2"/>
        <v>2211.95</v>
      </c>
      <c r="O28" s="4">
        <v>4395.3</v>
      </c>
      <c r="Q28" s="4">
        <f t="shared" si="3"/>
        <v>3082.78</v>
      </c>
      <c r="S28" s="4"/>
      <c r="U28" s="65"/>
      <c r="X28" s="4"/>
    </row>
    <row r="29" spans="3:24" ht="12.75">
      <c r="C29" s="3" t="s">
        <v>40</v>
      </c>
      <c r="G29" s="4"/>
      <c r="I29" s="4">
        <f>6922.5+15510.03+1239.57</f>
        <v>23672.1</v>
      </c>
      <c r="J29" s="4"/>
      <c r="K29" s="4">
        <f>7840.97+193.63+799.29</f>
        <v>8833.89</v>
      </c>
      <c r="L29" s="4"/>
      <c r="M29" s="4">
        <f t="shared" si="2"/>
        <v>-14838.21</v>
      </c>
      <c r="O29" s="4">
        <f>37969.76+175.82+2542.49</f>
        <v>40688.07</v>
      </c>
      <c r="Q29" s="4">
        <f t="shared" si="3"/>
        <v>17015.97</v>
      </c>
      <c r="S29" s="4"/>
      <c r="U29" s="65"/>
      <c r="X29" s="4"/>
    </row>
    <row r="30" spans="3:24" ht="12.75">
      <c r="C30" s="47" t="s">
        <v>41</v>
      </c>
      <c r="G30" s="4"/>
      <c r="I30" s="4">
        <f>4562.5+2228.97+2589.55</f>
        <v>9381.02</v>
      </c>
      <c r="J30" s="4"/>
      <c r="K30" s="4">
        <f>2998.71+1527.54+1252.05</f>
        <v>5778.3</v>
      </c>
      <c r="L30" s="4"/>
      <c r="M30" s="4">
        <f>SUM(K30-I30)</f>
        <v>-3602.7200000000003</v>
      </c>
      <c r="O30" s="4">
        <f>3121.61+1712.7+1305.84</f>
        <v>6140.150000000001</v>
      </c>
      <c r="Q30" s="4">
        <f t="shared" si="3"/>
        <v>-3240.87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 t="shared" si="3"/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 t="shared" si="3"/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212020.04999999996</v>
      </c>
      <c r="J34" s="5"/>
      <c r="K34" s="5">
        <f>SUM(K23:K32)</f>
        <v>201073.45999999996</v>
      </c>
      <c r="L34" s="5"/>
      <c r="M34" s="5">
        <f>SUM(M23:M32)</f>
        <v>-10946.59000000001</v>
      </c>
      <c r="N34" s="4"/>
      <c r="O34" s="5">
        <f>SUM(O23:O32)</f>
        <v>263199.68</v>
      </c>
      <c r="Q34" s="5">
        <f>SUM(Q23:Q32)</f>
        <v>51179.63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0</v>
      </c>
      <c r="J39" s="5"/>
      <c r="K39" s="5">
        <f>SUM(K37:K37)</f>
        <v>0</v>
      </c>
      <c r="L39" s="5"/>
      <c r="M39" s="4">
        <f>SUM(K39-I39)</f>
        <v>0</v>
      </c>
      <c r="N39" s="5"/>
      <c r="O39" s="5">
        <f>SUM(O37:O37)</f>
        <v>0</v>
      </c>
      <c r="Q39" s="4">
        <f>SUM(O39-I39)</f>
        <v>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212020.04999999996</v>
      </c>
      <c r="J41" s="61"/>
      <c r="K41" s="61">
        <f>K34+K39</f>
        <v>201073.45999999996</v>
      </c>
      <c r="L41" s="61"/>
      <c r="M41" s="61">
        <f>M34+M39</f>
        <v>-10946.59000000001</v>
      </c>
      <c r="O41" s="61">
        <f>O34+O39</f>
        <v>263199.68</v>
      </c>
      <c r="Q41" s="61">
        <f>Q34+Q39</f>
        <v>51179.63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41111.66000000009</v>
      </c>
      <c r="J43" s="62"/>
      <c r="K43" s="62">
        <f>K19-K41</f>
        <v>71261.20000000007</v>
      </c>
      <c r="L43" s="62"/>
      <c r="M43" s="62">
        <f>SUM(M41+M19)</f>
        <v>-30149.54</v>
      </c>
      <c r="O43" s="62">
        <f>O19-O41</f>
        <v>11904.539999999979</v>
      </c>
      <c r="Q43" s="62">
        <f>Q19+Q41</f>
        <v>29207.120000000075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136</v>
      </c>
      <c r="B45" s="70"/>
      <c r="C45" s="71"/>
      <c r="D45" s="71"/>
      <c r="E45" s="72"/>
      <c r="H45" s="4"/>
      <c r="I45" s="4"/>
      <c r="K45" s="73"/>
      <c r="O45" s="71"/>
    </row>
    <row r="46" spans="1:17" ht="12.75">
      <c r="A46" s="73"/>
      <c r="B46" s="73" t="s">
        <v>107</v>
      </c>
      <c r="C46" s="70"/>
      <c r="D46" s="71">
        <v>10000</v>
      </c>
      <c r="E46" s="71" t="s">
        <v>137</v>
      </c>
      <c r="F46" s="73" t="s">
        <v>145</v>
      </c>
      <c r="G46" s="70"/>
      <c r="H46" s="71">
        <v>20000</v>
      </c>
      <c r="I46" s="71" t="s">
        <v>146</v>
      </c>
      <c r="J46" s="4"/>
      <c r="K46" s="73"/>
      <c r="L46" s="70"/>
      <c r="M46" s="70"/>
      <c r="N46" s="71"/>
      <c r="O46" s="71"/>
      <c r="P46" s="70"/>
      <c r="Q46" s="70"/>
    </row>
    <row r="47" spans="1:15" ht="12.75">
      <c r="A47" s="73"/>
      <c r="B47" s="73" t="s">
        <v>118</v>
      </c>
      <c r="C47" s="70"/>
      <c r="D47" s="70">
        <v>20000</v>
      </c>
      <c r="E47" s="71" t="s">
        <v>138</v>
      </c>
      <c r="F47" s="73" t="s">
        <v>147</v>
      </c>
      <c r="G47" s="70"/>
      <c r="H47" s="71">
        <v>10000</v>
      </c>
      <c r="I47" s="71" t="s">
        <v>148</v>
      </c>
      <c r="J47" s="4"/>
      <c r="K47" s="73"/>
      <c r="L47" s="70"/>
      <c r="M47" s="71"/>
      <c r="N47" s="71"/>
      <c r="O47" s="71"/>
    </row>
    <row r="48" spans="1:15" ht="12.75">
      <c r="A48" s="73"/>
      <c r="B48" s="73" t="s">
        <v>139</v>
      </c>
      <c r="C48" s="70"/>
      <c r="D48" s="71">
        <v>15000</v>
      </c>
      <c r="E48" s="71" t="s">
        <v>140</v>
      </c>
      <c r="F48" s="73" t="s">
        <v>149</v>
      </c>
      <c r="G48" s="70"/>
      <c r="H48" s="71">
        <v>10000</v>
      </c>
      <c r="I48" s="71" t="s">
        <v>150</v>
      </c>
      <c r="J48" s="4"/>
      <c r="K48" s="73"/>
      <c r="L48" s="70"/>
      <c r="M48" s="70"/>
      <c r="N48" s="71"/>
      <c r="O48" s="71"/>
    </row>
    <row r="49" spans="1:17" ht="12.75">
      <c r="A49" s="73"/>
      <c r="B49" s="73" t="s">
        <v>141</v>
      </c>
      <c r="C49" s="70"/>
      <c r="D49" s="71">
        <v>10000</v>
      </c>
      <c r="E49" s="71" t="s">
        <v>142</v>
      </c>
      <c r="F49" s="73" t="s">
        <v>151</v>
      </c>
      <c r="G49" s="70"/>
      <c r="H49" s="71">
        <v>10000</v>
      </c>
      <c r="I49" s="71" t="s">
        <v>152</v>
      </c>
      <c r="J49" s="4"/>
      <c r="K49" s="73"/>
      <c r="L49" s="70"/>
      <c r="M49" s="70"/>
      <c r="N49" s="71"/>
      <c r="O49" s="71"/>
      <c r="P49" s="70"/>
      <c r="Q49" s="70"/>
    </row>
    <row r="50" spans="1:17" ht="12.75">
      <c r="A50" s="73"/>
      <c r="B50" s="73" t="s">
        <v>143</v>
      </c>
      <c r="C50" s="70"/>
      <c r="D50" s="71">
        <v>3200</v>
      </c>
      <c r="E50" s="71" t="s">
        <v>144</v>
      </c>
      <c r="F50" s="73" t="s">
        <v>153</v>
      </c>
      <c r="G50" s="70"/>
      <c r="H50" s="71">
        <v>10000</v>
      </c>
      <c r="I50" s="71" t="s">
        <v>154</v>
      </c>
      <c r="J50" s="4"/>
      <c r="K50" s="73"/>
      <c r="L50" s="70"/>
      <c r="M50" s="70"/>
      <c r="N50" s="71"/>
      <c r="O50" s="71"/>
      <c r="P50" s="70"/>
      <c r="Q50" s="70"/>
    </row>
    <row r="51" spans="2:15" ht="12.75">
      <c r="B51" s="73"/>
      <c r="C51" s="70"/>
      <c r="D51" s="71"/>
      <c r="E51" s="71"/>
      <c r="G51" s="4"/>
      <c r="I51" s="4"/>
      <c r="J51" s="4"/>
      <c r="N51" s="71"/>
      <c r="O51" s="71"/>
    </row>
    <row r="52" spans="2:14" ht="12.75">
      <c r="B52" s="73"/>
      <c r="C52" s="70"/>
      <c r="D52" s="71"/>
      <c r="E52" s="71"/>
      <c r="G52" s="4"/>
      <c r="I52" s="4"/>
      <c r="J52" s="4"/>
      <c r="N52" s="71"/>
    </row>
    <row r="53" spans="2:10" ht="12.75">
      <c r="B53" s="73"/>
      <c r="C53" s="70"/>
      <c r="D53" s="71"/>
      <c r="E53" s="71"/>
      <c r="G53" s="4"/>
      <c r="I53" s="4"/>
      <c r="J53" s="4"/>
    </row>
    <row r="54" spans="2:14" ht="12.75">
      <c r="B54" s="73"/>
      <c r="C54" s="70"/>
      <c r="D54" s="71"/>
      <c r="E54" s="71"/>
      <c r="G54" s="4"/>
      <c r="I54" s="4"/>
      <c r="J54" s="4"/>
      <c r="N54" s="71"/>
    </row>
    <row r="55" spans="2:14" ht="12.75">
      <c r="B55" s="73"/>
      <c r="C55" s="70"/>
      <c r="D55" s="71"/>
      <c r="E55" s="71"/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9.140625" style="0" bestFit="1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44865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155</v>
      </c>
      <c r="J5" s="23"/>
      <c r="K5" s="23" t="s">
        <v>129</v>
      </c>
      <c r="L5" s="23"/>
      <c r="M5" s="26" t="s">
        <v>27</v>
      </c>
      <c r="O5" s="23" t="s">
        <v>155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379131.58+37995.55+4700</f>
        <v>421827.13</v>
      </c>
      <c r="J8" s="4"/>
      <c r="K8" s="4">
        <f>360777.33+37823.01+8050</f>
        <v>406650.34</v>
      </c>
      <c r="L8" s="4"/>
      <c r="M8" s="4">
        <f aca="true" t="shared" si="0" ref="M8:M14">SUM(I8-K8)</f>
        <v>15176.789999999979</v>
      </c>
      <c r="O8" s="4">
        <f>362576.25+31750.4+6215.1</f>
        <v>400541.75</v>
      </c>
      <c r="Q8" s="4">
        <f aca="true" t="shared" si="1" ref="Q8:Q14">SUM(I8-O8)</f>
        <v>21285.380000000005</v>
      </c>
      <c r="S8" s="4"/>
      <c r="U8" s="65"/>
      <c r="X8" s="4"/>
    </row>
    <row r="9" spans="4:24" ht="12.75">
      <c r="D9" t="s">
        <v>2</v>
      </c>
      <c r="G9" s="4"/>
      <c r="I9" s="4">
        <v>18112.53</v>
      </c>
      <c r="J9" s="4"/>
      <c r="K9" s="4">
        <v>19792.29</v>
      </c>
      <c r="L9" s="4"/>
      <c r="M9" s="4">
        <f t="shared" si="0"/>
        <v>-1679.760000000002</v>
      </c>
      <c r="O9" s="4">
        <v>31477.07</v>
      </c>
      <c r="Q9" s="4">
        <f t="shared" si="1"/>
        <v>-13364.54</v>
      </c>
      <c r="S9" s="4"/>
      <c r="U9" s="65"/>
      <c r="X9" s="4"/>
    </row>
    <row r="10" spans="4:24" ht="12.75">
      <c r="D10" t="s">
        <v>3</v>
      </c>
      <c r="G10" s="4"/>
      <c r="I10" s="4">
        <v>37812.8</v>
      </c>
      <c r="J10" s="4"/>
      <c r="K10" s="4">
        <v>49864.52</v>
      </c>
      <c r="L10" s="4"/>
      <c r="M10" s="4">
        <f t="shared" si="0"/>
        <v>-12051.719999999994</v>
      </c>
      <c r="O10" s="4">
        <v>47427.51</v>
      </c>
      <c r="Q10" s="4">
        <f t="shared" si="1"/>
        <v>-9614.71</v>
      </c>
      <c r="S10" s="4"/>
      <c r="U10" s="65"/>
      <c r="X10" s="4"/>
    </row>
    <row r="11" spans="4:24" ht="12.75">
      <c r="D11" t="s">
        <v>31</v>
      </c>
      <c r="G11" s="4"/>
      <c r="I11" s="4">
        <f>1632.15+4800</f>
        <v>6432.15</v>
      </c>
      <c r="J11" s="4"/>
      <c r="K11" s="4">
        <f>217.11+37677</f>
        <v>37894.11</v>
      </c>
      <c r="L11" s="4"/>
      <c r="M11" s="4">
        <f t="shared" si="0"/>
        <v>-31461.96</v>
      </c>
      <c r="O11" s="4">
        <f>180.76+30952.96</f>
        <v>31133.719999999998</v>
      </c>
      <c r="Q11" s="4">
        <f t="shared" si="1"/>
        <v>-24701.57</v>
      </c>
      <c r="S11" s="4"/>
      <c r="U11" s="65"/>
      <c r="X11" s="4"/>
    </row>
    <row r="12" spans="4:24" ht="12.75">
      <c r="D12" t="s">
        <v>30</v>
      </c>
      <c r="G12" s="4"/>
      <c r="I12" s="4">
        <v>1388.32</v>
      </c>
      <c r="J12" s="4"/>
      <c r="K12" s="4">
        <v>1398.02</v>
      </c>
      <c r="L12" s="4"/>
      <c r="M12" s="4">
        <f t="shared" si="0"/>
        <v>-9.700000000000045</v>
      </c>
      <c r="O12" s="4">
        <v>1385.73</v>
      </c>
      <c r="Q12" s="4">
        <f t="shared" si="1"/>
        <v>2.589999999999918</v>
      </c>
      <c r="S12" s="4"/>
      <c r="U12" s="65"/>
      <c r="X12" s="4"/>
    </row>
    <row r="13" spans="4:24" ht="12.75">
      <c r="D13" t="s">
        <v>29</v>
      </c>
      <c r="G13" s="4"/>
      <c r="I13" s="4">
        <v>2078.74</v>
      </c>
      <c r="J13" s="4"/>
      <c r="K13" s="4">
        <v>2268.79</v>
      </c>
      <c r="L13" s="4"/>
      <c r="M13" s="4">
        <f t="shared" si="0"/>
        <v>-190.05000000000018</v>
      </c>
      <c r="O13" s="4">
        <v>2851.24</v>
      </c>
      <c r="Q13" s="4">
        <f t="shared" si="1"/>
        <v>-772.5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487651.67000000004</v>
      </c>
      <c r="J16" s="5"/>
      <c r="K16" s="5">
        <f>SUM(K8:K14)</f>
        <v>517868.07</v>
      </c>
      <c r="L16" s="5"/>
      <c r="M16" s="5">
        <f>SUM(M8:M14)</f>
        <v>-30216.400000000016</v>
      </c>
      <c r="N16" s="5"/>
      <c r="O16" s="5">
        <f>SUM(O8:O14)</f>
        <v>514817.01999999996</v>
      </c>
      <c r="Q16" s="5">
        <f>SUM(Q8:Q14)</f>
        <v>-27165.349999999995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487651.67000000004</v>
      </c>
      <c r="J19" s="61"/>
      <c r="K19" s="61">
        <f>K16</f>
        <v>517868.07</v>
      </c>
      <c r="L19" s="61"/>
      <c r="M19" s="61">
        <f>M16</f>
        <v>-30216.400000000016</v>
      </c>
      <c r="O19" s="61">
        <f>O16</f>
        <v>514817.01999999996</v>
      </c>
      <c r="Q19" s="62">
        <f>SUM(I19-O19)</f>
        <v>-27165.34999999992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68366.64</v>
      </c>
      <c r="J23" s="4"/>
      <c r="K23" s="4">
        <v>57633.32</v>
      </c>
      <c r="L23" s="4"/>
      <c r="M23" s="4">
        <f aca="true" t="shared" si="2" ref="M23:M29">SUM(K23-I23)</f>
        <v>-10733.32</v>
      </c>
      <c r="O23" s="4">
        <v>68976.67</v>
      </c>
      <c r="Q23" s="4">
        <f aca="true" t="shared" si="3" ref="Q23:Q32">SUM(O23-I23)</f>
        <v>610.0299999999988</v>
      </c>
      <c r="S23" s="4"/>
      <c r="U23" s="65"/>
      <c r="X23" s="4"/>
    </row>
    <row r="24" spans="3:24" ht="12.75">
      <c r="C24" t="s">
        <v>9</v>
      </c>
      <c r="G24" s="4"/>
      <c r="I24" s="4">
        <f>20322.48+111972.75+985.64+23171.36+13549.56</f>
        <v>170001.79000000004</v>
      </c>
      <c r="J24" s="4"/>
      <c r="K24" s="4">
        <f>22334.24+121704.83+938.68+22090+12786.01</f>
        <v>179853.76</v>
      </c>
      <c r="L24" s="4"/>
      <c r="M24" s="4">
        <f t="shared" si="2"/>
        <v>9851.969999999972</v>
      </c>
      <c r="O24" s="4">
        <f>22128.42+123111.25+1032.55+24299+22904.61</f>
        <v>193475.82999999996</v>
      </c>
      <c r="Q24" s="4">
        <f t="shared" si="3"/>
        <v>23474.03999999992</v>
      </c>
      <c r="S24" s="4"/>
      <c r="U24" s="65"/>
      <c r="X24" s="4"/>
    </row>
    <row r="25" spans="3:24" ht="12.75">
      <c r="C25" s="3" t="s">
        <v>106</v>
      </c>
      <c r="G25" s="4"/>
      <c r="I25" s="4">
        <v>42022.61</v>
      </c>
      <c r="J25" s="4"/>
      <c r="K25" s="4">
        <v>41024.93</v>
      </c>
      <c r="L25" s="4"/>
      <c r="M25" s="4">
        <f t="shared" si="2"/>
        <v>-997.6800000000003</v>
      </c>
      <c r="O25" s="4">
        <v>45717.14</v>
      </c>
      <c r="Q25" s="4">
        <f t="shared" si="3"/>
        <v>3694.529999999999</v>
      </c>
      <c r="S25" s="4"/>
      <c r="U25" s="65"/>
      <c r="X25" s="4"/>
    </row>
    <row r="26" spans="3:24" ht="12.75">
      <c r="C26" t="s">
        <v>33</v>
      </c>
      <c r="G26" s="4"/>
      <c r="I26" s="4">
        <f>39574.05+4818.99+1511.1+10224.85</f>
        <v>56128.99</v>
      </c>
      <c r="J26" s="4" t="s">
        <v>18</v>
      </c>
      <c r="K26" s="4">
        <f>37673.54+3550.9+2157.91+4795.11</f>
        <v>48177.46000000001</v>
      </c>
      <c r="L26" s="4"/>
      <c r="M26" s="4">
        <f t="shared" si="2"/>
        <v>-7951.529999999992</v>
      </c>
      <c r="O26" s="4">
        <f>40244.84+7867.48+2984.3+8460.77</f>
        <v>59557.39</v>
      </c>
      <c r="Q26" s="4">
        <f t="shared" si="3"/>
        <v>3428.4000000000015</v>
      </c>
      <c r="S26" s="4"/>
      <c r="U26" s="65"/>
      <c r="X26" s="4"/>
    </row>
    <row r="27" spans="3:24" ht="12.75">
      <c r="C27" t="s">
        <v>10</v>
      </c>
      <c r="G27" s="4"/>
      <c r="I27" s="4">
        <v>19614.6</v>
      </c>
      <c r="J27" s="4"/>
      <c r="K27" s="4">
        <v>22999.3</v>
      </c>
      <c r="L27" s="4"/>
      <c r="M27" s="4">
        <f t="shared" si="2"/>
        <v>3384.7000000000007</v>
      </c>
      <c r="O27" s="4">
        <v>43669.45</v>
      </c>
      <c r="Q27" s="4">
        <f t="shared" si="3"/>
        <v>24054.85</v>
      </c>
      <c r="S27" s="4"/>
      <c r="U27" s="65"/>
      <c r="X27" s="4"/>
    </row>
    <row r="28" spans="3:24" ht="12.75">
      <c r="C28" t="s">
        <v>11</v>
      </c>
      <c r="G28" s="4"/>
      <c r="I28" s="4">
        <v>2193.88</v>
      </c>
      <c r="J28" s="4"/>
      <c r="K28" s="4">
        <v>4928.37</v>
      </c>
      <c r="L28" s="4"/>
      <c r="M28" s="4">
        <f t="shared" si="2"/>
        <v>2734.49</v>
      </c>
      <c r="O28" s="4">
        <v>7418.75</v>
      </c>
      <c r="Q28" s="4">
        <f t="shared" si="3"/>
        <v>5224.87</v>
      </c>
      <c r="S28" s="4"/>
      <c r="U28" s="65"/>
      <c r="X28" s="4"/>
    </row>
    <row r="29" spans="3:24" ht="12.75">
      <c r="C29" s="3" t="s">
        <v>40</v>
      </c>
      <c r="G29" s="4"/>
      <c r="I29" s="4">
        <f>14963.5+16006.12+2169.99</f>
        <v>33139.61</v>
      </c>
      <c r="J29" s="4"/>
      <c r="K29" s="4">
        <f>16262.87+2046+1666.69</f>
        <v>19975.56</v>
      </c>
      <c r="L29" s="4"/>
      <c r="M29" s="4">
        <f t="shared" si="2"/>
        <v>-13164.05</v>
      </c>
      <c r="O29" s="4">
        <f>62653.59+1857.81+11944.94</f>
        <v>76456.34</v>
      </c>
      <c r="Q29" s="4">
        <f t="shared" si="3"/>
        <v>43316.729999999996</v>
      </c>
      <c r="S29" s="4"/>
      <c r="U29" s="65"/>
      <c r="X29" s="4"/>
    </row>
    <row r="30" spans="3:24" ht="12.75">
      <c r="C30" s="47" t="s">
        <v>41</v>
      </c>
      <c r="G30" s="4"/>
      <c r="I30" s="4">
        <f>8954.78+4146.1+4807.44</f>
        <v>17908.32</v>
      </c>
      <c r="J30" s="4"/>
      <c r="K30" s="4">
        <f>10226.35+3773.1+6281.49</f>
        <v>20280.940000000002</v>
      </c>
      <c r="L30" s="4"/>
      <c r="M30" s="4">
        <f>SUM(K30-I30)</f>
        <v>2372.6200000000026</v>
      </c>
      <c r="O30" s="4">
        <f>15412.74+4686.25+14407.78</f>
        <v>34506.77</v>
      </c>
      <c r="Q30" s="4">
        <f t="shared" si="3"/>
        <v>16598.449999999997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 t="shared" si="3"/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 t="shared" si="3"/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409376.44</v>
      </c>
      <c r="J34" s="5"/>
      <c r="K34" s="5">
        <f>SUM(K23:K32)</f>
        <v>394873.64</v>
      </c>
      <c r="L34" s="5"/>
      <c r="M34" s="5">
        <f>SUM(M23:M32)</f>
        <v>-14502.800000000017</v>
      </c>
      <c r="N34" s="4"/>
      <c r="O34" s="5">
        <f>SUM(O23:O32)</f>
        <v>529778.34</v>
      </c>
      <c r="Q34" s="5">
        <f>SUM(Q23:Q32)</f>
        <v>120401.89999999992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25750</v>
      </c>
      <c r="J37" s="4"/>
      <c r="K37" s="4">
        <v>28187.5</v>
      </c>
      <c r="L37" s="4"/>
      <c r="M37" s="4">
        <f>SUM(K37-I37)</f>
        <v>2437.5</v>
      </c>
      <c r="O37" s="4">
        <v>27481.21</v>
      </c>
      <c r="Q37" s="4">
        <f>SUM(O37-I37)</f>
        <v>1731.2099999999991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25750</v>
      </c>
      <c r="J39" s="5"/>
      <c r="K39" s="5">
        <f>SUM(K37:K37)</f>
        <v>28187.5</v>
      </c>
      <c r="L39" s="5"/>
      <c r="M39" s="4">
        <f>SUM(K39-I39)</f>
        <v>2437.5</v>
      </c>
      <c r="N39" s="5"/>
      <c r="O39" s="5">
        <f>SUM(O37:O37)</f>
        <v>27481.21</v>
      </c>
      <c r="Q39" s="4">
        <f>SUM(O39-I39)</f>
        <v>1731.2099999999991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435126.44</v>
      </c>
      <c r="J41" s="61"/>
      <c r="K41" s="61">
        <f>K34+K39</f>
        <v>423061.14</v>
      </c>
      <c r="L41" s="61"/>
      <c r="M41" s="61">
        <f>M34+M39</f>
        <v>-12065.300000000017</v>
      </c>
      <c r="O41" s="61">
        <f>O34+O39</f>
        <v>557259.5499999999</v>
      </c>
      <c r="Q41" s="61">
        <f>Q34+Q39</f>
        <v>122133.10999999993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52525.23000000004</v>
      </c>
      <c r="J43" s="62"/>
      <c r="K43" s="62">
        <f>K19-K41</f>
        <v>94806.93</v>
      </c>
      <c r="L43" s="62"/>
      <c r="M43" s="62">
        <f>SUM(M41+M19)</f>
        <v>-42281.70000000003</v>
      </c>
      <c r="O43" s="62">
        <f>O19-O41</f>
        <v>-42442.52999999997</v>
      </c>
      <c r="Q43" s="62">
        <f>Q19+Q41</f>
        <v>94967.76000000001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136</v>
      </c>
      <c r="B45" s="70"/>
      <c r="C45" s="71"/>
      <c r="D45" s="71"/>
      <c r="E45" s="72"/>
      <c r="H45" s="4"/>
      <c r="I45" s="4"/>
      <c r="K45" s="73"/>
      <c r="O45" s="71"/>
    </row>
    <row r="46" spans="1:17" ht="12.75">
      <c r="A46" s="73"/>
      <c r="B46" s="73" t="s">
        <v>107</v>
      </c>
      <c r="C46" s="70"/>
      <c r="D46" s="71">
        <v>10000</v>
      </c>
      <c r="E46" s="71" t="s">
        <v>137</v>
      </c>
      <c r="F46" s="73" t="s">
        <v>145</v>
      </c>
      <c r="G46" s="70"/>
      <c r="H46" s="71">
        <v>20000</v>
      </c>
      <c r="I46" s="71" t="s">
        <v>146</v>
      </c>
      <c r="J46" s="4"/>
      <c r="K46" s="73"/>
      <c r="L46" s="70"/>
      <c r="M46" s="70"/>
      <c r="N46" s="71"/>
      <c r="O46" s="71"/>
      <c r="P46" s="70"/>
      <c r="Q46" s="70"/>
    </row>
    <row r="47" spans="1:15" ht="12.75">
      <c r="A47" s="73"/>
      <c r="B47" s="73" t="s">
        <v>118</v>
      </c>
      <c r="C47" s="70"/>
      <c r="D47" s="70">
        <v>20000</v>
      </c>
      <c r="E47" s="71" t="s">
        <v>138</v>
      </c>
      <c r="F47" s="73" t="s">
        <v>147</v>
      </c>
      <c r="G47" s="70"/>
      <c r="H47" s="71">
        <v>10000</v>
      </c>
      <c r="I47" s="71" t="s">
        <v>148</v>
      </c>
      <c r="J47" s="4"/>
      <c r="K47" s="73"/>
      <c r="L47" s="70"/>
      <c r="M47" s="71"/>
      <c r="N47" s="71"/>
      <c r="O47" s="71"/>
    </row>
    <row r="48" spans="1:15" ht="12.75">
      <c r="A48" s="73"/>
      <c r="B48" s="73" t="s">
        <v>139</v>
      </c>
      <c r="C48" s="70"/>
      <c r="D48" s="71">
        <v>15000</v>
      </c>
      <c r="E48" s="71" t="s">
        <v>140</v>
      </c>
      <c r="F48" s="73" t="s">
        <v>149</v>
      </c>
      <c r="G48" s="70"/>
      <c r="H48" s="71">
        <v>10000</v>
      </c>
      <c r="I48" s="71" t="s">
        <v>150</v>
      </c>
      <c r="J48" s="4"/>
      <c r="K48" s="73"/>
      <c r="L48" s="70"/>
      <c r="M48" s="70"/>
      <c r="N48" s="71"/>
      <c r="O48" s="71"/>
    </row>
    <row r="49" spans="1:17" ht="12.75">
      <c r="A49" s="73"/>
      <c r="B49" s="73" t="s">
        <v>141</v>
      </c>
      <c r="C49" s="70"/>
      <c r="D49" s="71">
        <v>10000</v>
      </c>
      <c r="E49" s="71" t="s">
        <v>142</v>
      </c>
      <c r="F49" s="73" t="s">
        <v>151</v>
      </c>
      <c r="G49" s="70"/>
      <c r="H49" s="71">
        <v>10000</v>
      </c>
      <c r="I49" s="71" t="s">
        <v>152</v>
      </c>
      <c r="J49" s="4"/>
      <c r="K49" s="73"/>
      <c r="L49" s="70"/>
      <c r="M49" s="70"/>
      <c r="N49" s="71"/>
      <c r="O49" s="71"/>
      <c r="P49" s="70"/>
      <c r="Q49" s="70"/>
    </row>
    <row r="50" spans="1:17" ht="12.75">
      <c r="A50" s="73"/>
      <c r="B50" s="73" t="s">
        <v>143</v>
      </c>
      <c r="C50" s="70"/>
      <c r="D50" s="71">
        <v>3200</v>
      </c>
      <c r="E50" s="71" t="s">
        <v>144</v>
      </c>
      <c r="F50" s="73" t="s">
        <v>153</v>
      </c>
      <c r="G50" s="70"/>
      <c r="H50" s="71">
        <v>10000</v>
      </c>
      <c r="I50" s="71" t="s">
        <v>154</v>
      </c>
      <c r="J50" s="4"/>
      <c r="K50" s="73"/>
      <c r="L50" s="70"/>
      <c r="M50" s="70"/>
      <c r="N50" s="71"/>
      <c r="O50" s="71"/>
      <c r="P50" s="70"/>
      <c r="Q50" s="70"/>
    </row>
    <row r="51" spans="2:15" ht="12.75">
      <c r="B51" s="73"/>
      <c r="C51" s="70"/>
      <c r="D51" s="71"/>
      <c r="E51" s="71"/>
      <c r="G51" s="4"/>
      <c r="I51" s="4"/>
      <c r="J51" s="4"/>
      <c r="N51" s="71"/>
      <c r="O51" s="71"/>
    </row>
    <row r="52" spans="2:14" ht="12.75">
      <c r="B52" s="73"/>
      <c r="C52" s="70"/>
      <c r="D52" s="71"/>
      <c r="E52" s="71"/>
      <c r="G52" s="4"/>
      <c r="I52" s="4"/>
      <c r="J52" s="4"/>
      <c r="N52" s="71"/>
    </row>
    <row r="53" spans="2:10" ht="12.75">
      <c r="B53" s="73"/>
      <c r="C53" s="70"/>
      <c r="D53" s="71"/>
      <c r="E53" s="71"/>
      <c r="G53" s="4"/>
      <c r="I53" s="4"/>
      <c r="J53" s="4"/>
    </row>
    <row r="54" spans="2:14" ht="12.75">
      <c r="B54" s="73"/>
      <c r="C54" s="70"/>
      <c r="D54" s="71"/>
      <c r="E54" s="71"/>
      <c r="G54" s="4"/>
      <c r="I54" s="4"/>
      <c r="J54" s="4"/>
      <c r="N54" s="71"/>
    </row>
    <row r="55" spans="2:14" ht="12.75">
      <c r="B55" s="73"/>
      <c r="C55" s="70"/>
      <c r="D55" s="71"/>
      <c r="E55" s="71"/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O3" sqref="O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9.140625" style="0" bestFit="1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44926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156</v>
      </c>
      <c r="J5" s="23"/>
      <c r="K5" s="23" t="s">
        <v>131</v>
      </c>
      <c r="L5" s="23"/>
      <c r="M5" s="26" t="s">
        <v>27</v>
      </c>
      <c r="O5" s="23" t="s">
        <v>156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547492.14+131452.31+7650</f>
        <v>686594.45</v>
      </c>
      <c r="J8" s="4"/>
      <c r="K8" s="4">
        <f>581113.31+129074.27+13350</f>
        <v>723537.5800000001</v>
      </c>
      <c r="L8" s="4"/>
      <c r="M8" s="4">
        <f aca="true" t="shared" si="0" ref="M8:M14">SUM(I8-K8)</f>
        <v>-36943.13000000012</v>
      </c>
      <c r="O8" s="4">
        <f>577727.8+115658.1+10341.27</f>
        <v>703727.17</v>
      </c>
      <c r="Q8" s="4">
        <f aca="true" t="shared" si="1" ref="Q8:Q14">SUM(I8-O8)</f>
        <v>-17132.72000000009</v>
      </c>
      <c r="S8" s="4"/>
      <c r="U8" s="65"/>
      <c r="X8" s="4"/>
    </row>
    <row r="9" spans="4:24" ht="12.75">
      <c r="D9" t="s">
        <v>2</v>
      </c>
      <c r="G9" s="4"/>
      <c r="I9" s="4">
        <v>15927.05</v>
      </c>
      <c r="J9" s="4"/>
      <c r="K9" s="4">
        <v>31582.46</v>
      </c>
      <c r="L9" s="4"/>
      <c r="M9" s="4">
        <f t="shared" si="0"/>
        <v>-15655.41</v>
      </c>
      <c r="O9" s="4">
        <v>61534.88</v>
      </c>
      <c r="Q9" s="4">
        <f t="shared" si="1"/>
        <v>-45607.83</v>
      </c>
      <c r="S9" s="4"/>
      <c r="U9" s="65"/>
      <c r="X9" s="4"/>
    </row>
    <row r="10" spans="4:24" ht="12.75">
      <c r="D10" t="s">
        <v>3</v>
      </c>
      <c r="G10" s="4"/>
      <c r="I10" s="4">
        <v>46298.1</v>
      </c>
      <c r="J10" s="4"/>
      <c r="K10" s="4">
        <v>56071.05</v>
      </c>
      <c r="L10" s="4"/>
      <c r="M10" s="4">
        <f t="shared" si="0"/>
        <v>-9772.950000000004</v>
      </c>
      <c r="O10" s="4">
        <v>55202.27</v>
      </c>
      <c r="Q10" s="4">
        <f t="shared" si="1"/>
        <v>-8904.169999999998</v>
      </c>
      <c r="S10" s="4"/>
      <c r="U10" s="65"/>
      <c r="X10" s="4"/>
    </row>
    <row r="11" spans="4:24" ht="12.75">
      <c r="D11" t="s">
        <v>31</v>
      </c>
      <c r="G11" s="4"/>
      <c r="I11" s="4">
        <f>4475.69+6564</f>
        <v>11039.689999999999</v>
      </c>
      <c r="J11" s="4"/>
      <c r="K11" s="4">
        <f>375.89+53927</f>
        <v>54302.89</v>
      </c>
      <c r="L11" s="4"/>
      <c r="M11" s="4">
        <f t="shared" si="0"/>
        <v>-43263.2</v>
      </c>
      <c r="O11" s="4">
        <f>312.93+44426.94</f>
        <v>44739.87</v>
      </c>
      <c r="Q11" s="4">
        <f t="shared" si="1"/>
        <v>-33700.18000000001</v>
      </c>
      <c r="S11" s="4"/>
      <c r="U11" s="65"/>
      <c r="X11" s="4"/>
    </row>
    <row r="12" spans="4:24" ht="12.75">
      <c r="D12" t="s">
        <v>30</v>
      </c>
      <c r="G12" s="4"/>
      <c r="I12" s="4">
        <v>2082.59</v>
      </c>
      <c r="J12" s="4"/>
      <c r="K12" s="4">
        <v>6290.72</v>
      </c>
      <c r="L12" s="4"/>
      <c r="M12" s="4">
        <f t="shared" si="0"/>
        <v>-4208.13</v>
      </c>
      <c r="O12" s="4">
        <v>6270.09</v>
      </c>
      <c r="Q12" s="4">
        <f t="shared" si="1"/>
        <v>-4187.5</v>
      </c>
      <c r="S12" s="4"/>
      <c r="U12" s="65"/>
      <c r="X12" s="4"/>
    </row>
    <row r="13" spans="4:24" ht="12.75">
      <c r="D13" t="s">
        <v>29</v>
      </c>
      <c r="G13" s="4"/>
      <c r="I13" s="4">
        <v>4157.48</v>
      </c>
      <c r="J13" s="4"/>
      <c r="K13" s="4">
        <v>4537.58</v>
      </c>
      <c r="L13" s="4"/>
      <c r="M13" s="4">
        <f t="shared" si="0"/>
        <v>-380.10000000000036</v>
      </c>
      <c r="O13" s="4">
        <v>5702.47</v>
      </c>
      <c r="Q13" s="4">
        <f t="shared" si="1"/>
        <v>-1544.9900000000007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766099.3599999999</v>
      </c>
      <c r="J16" s="5"/>
      <c r="K16" s="5">
        <f>SUM(K8:K14)</f>
        <v>876322.28</v>
      </c>
      <c r="L16" s="5"/>
      <c r="M16" s="5">
        <f>SUM(M8:M14)</f>
        <v>-110222.92000000013</v>
      </c>
      <c r="N16" s="5"/>
      <c r="O16" s="5">
        <f>SUM(O8:O14)</f>
        <v>877176.75</v>
      </c>
      <c r="Q16" s="5">
        <f>SUM(Q8:Q14)</f>
        <v>-111077.3900000001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766099.3599999999</v>
      </c>
      <c r="J19" s="61"/>
      <c r="K19" s="61">
        <f>K16</f>
        <v>876322.28</v>
      </c>
      <c r="L19" s="61"/>
      <c r="M19" s="61">
        <f>M16</f>
        <v>-110222.92000000013</v>
      </c>
      <c r="O19" s="61">
        <f>O16</f>
        <v>877176.75</v>
      </c>
      <c r="Q19" s="62">
        <f>SUM(I19-O19)</f>
        <v>-111077.39000000013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102549.98</v>
      </c>
      <c r="J23" s="4"/>
      <c r="K23" s="4">
        <v>86449.98</v>
      </c>
      <c r="L23" s="4"/>
      <c r="M23" s="4">
        <f aca="true" t="shared" si="2" ref="M23:M29">SUM(K23-I23)</f>
        <v>-16100</v>
      </c>
      <c r="O23" s="4">
        <v>103465</v>
      </c>
      <c r="Q23" s="4">
        <f aca="true" t="shared" si="3" ref="Q23:Q32">SUM(O23-I23)</f>
        <v>915.0200000000041</v>
      </c>
      <c r="S23" s="4"/>
      <c r="U23" s="65"/>
      <c r="X23" s="4"/>
    </row>
    <row r="24" spans="3:24" ht="12.75">
      <c r="C24" t="s">
        <v>9</v>
      </c>
      <c r="G24" s="4"/>
      <c r="I24" s="4">
        <f>32384.6+174567.08+1478.48+34757.02+24922.76</f>
        <v>268109.94</v>
      </c>
      <c r="J24" s="4"/>
      <c r="K24" s="4">
        <f>34896.86+188800.69+1408.02+33135+26173.03</f>
        <v>284413.6</v>
      </c>
      <c r="L24" s="4"/>
      <c r="M24" s="4">
        <f t="shared" si="2"/>
        <v>16303.659999999974</v>
      </c>
      <c r="O24" s="4">
        <f>34728.03+190832.28+1548.82+36448.5+42048.27</f>
        <v>305605.9</v>
      </c>
      <c r="Q24" s="4">
        <f t="shared" si="3"/>
        <v>37495.96000000002</v>
      </c>
      <c r="S24" s="4"/>
      <c r="U24" s="65"/>
      <c r="X24" s="4"/>
    </row>
    <row r="25" spans="3:24" ht="12.75">
      <c r="C25" s="3" t="s">
        <v>106</v>
      </c>
      <c r="G25" s="4"/>
      <c r="I25" s="4">
        <v>59777.07</v>
      </c>
      <c r="J25" s="4"/>
      <c r="K25" s="4">
        <v>55465.13</v>
      </c>
      <c r="L25" s="4"/>
      <c r="M25" s="4">
        <f t="shared" si="2"/>
        <v>-4311.940000000002</v>
      </c>
      <c r="O25" s="4">
        <v>60254.26</v>
      </c>
      <c r="Q25" s="4">
        <f t="shared" si="3"/>
        <v>477.1900000000023</v>
      </c>
      <c r="S25" s="4"/>
      <c r="U25" s="65"/>
      <c r="X25" s="4"/>
    </row>
    <row r="26" spans="3:24" ht="12.75">
      <c r="C26" t="s">
        <v>33</v>
      </c>
      <c r="G26" s="4"/>
      <c r="I26" s="4">
        <f>60237.95+10495.08+2426.83+12748.52</f>
        <v>85908.38</v>
      </c>
      <c r="J26" s="4" t="s">
        <v>18</v>
      </c>
      <c r="K26" s="4">
        <f>54139.68+9414.26+3484.01+7541.43</f>
        <v>74579.38</v>
      </c>
      <c r="L26" s="4"/>
      <c r="M26" s="4">
        <f t="shared" si="2"/>
        <v>-11329</v>
      </c>
      <c r="O26" s="4">
        <f>57465.31+19931.47+4866.04+12604.36</f>
        <v>94867.18</v>
      </c>
      <c r="Q26" s="4">
        <f t="shared" si="3"/>
        <v>8958.799999999988</v>
      </c>
      <c r="S26" s="4"/>
      <c r="U26" s="65"/>
      <c r="X26" s="4"/>
    </row>
    <row r="27" spans="3:24" ht="12.75">
      <c r="C27" t="s">
        <v>10</v>
      </c>
      <c r="G27" s="4"/>
      <c r="I27" s="4">
        <v>24345.48</v>
      </c>
      <c r="J27" s="4"/>
      <c r="K27" s="4">
        <v>31329.9</v>
      </c>
      <c r="L27" s="4"/>
      <c r="M27" s="4">
        <f t="shared" si="2"/>
        <v>6984.420000000002</v>
      </c>
      <c r="O27" s="4">
        <v>59052.94</v>
      </c>
      <c r="Q27" s="4">
        <f t="shared" si="3"/>
        <v>34707.46000000001</v>
      </c>
      <c r="S27" s="4"/>
      <c r="U27" s="65"/>
      <c r="X27" s="4"/>
    </row>
    <row r="28" spans="3:24" ht="12.75">
      <c r="C28" t="s">
        <v>11</v>
      </c>
      <c r="G28" s="4"/>
      <c r="I28" s="4">
        <v>3425.6</v>
      </c>
      <c r="J28" s="4"/>
      <c r="K28" s="4">
        <v>6028.94</v>
      </c>
      <c r="L28" s="4"/>
      <c r="M28" s="4">
        <f t="shared" si="2"/>
        <v>2603.3399999999997</v>
      </c>
      <c r="O28" s="4">
        <v>9906.82</v>
      </c>
      <c r="Q28" s="4">
        <f t="shared" si="3"/>
        <v>6481.219999999999</v>
      </c>
      <c r="S28" s="4"/>
      <c r="U28" s="65"/>
      <c r="X28" s="4"/>
    </row>
    <row r="29" spans="3:24" ht="12.75">
      <c r="C29" s="3" t="s">
        <v>40</v>
      </c>
      <c r="G29" s="4"/>
      <c r="I29" s="4">
        <f>24161.25+33297.99+3023.47</f>
        <v>60482.71</v>
      </c>
      <c r="J29" s="4"/>
      <c r="K29" s="4">
        <f>23102.84+2046+2251.46</f>
        <v>27400.3</v>
      </c>
      <c r="L29" s="4"/>
      <c r="M29" s="4">
        <f t="shared" si="2"/>
        <v>-33082.41</v>
      </c>
      <c r="O29" s="4">
        <f>88343.05+1857.81+23568.32</f>
        <v>113769.18</v>
      </c>
      <c r="Q29" s="4">
        <f t="shared" si="3"/>
        <v>53286.469999999994</v>
      </c>
      <c r="S29" s="4"/>
      <c r="U29" s="65"/>
      <c r="X29" s="4"/>
    </row>
    <row r="30" spans="3:24" ht="12.75">
      <c r="C30" s="47" t="s">
        <v>41</v>
      </c>
      <c r="G30" s="4"/>
      <c r="I30" s="4">
        <f>19376.84+6246.35+17768.59</f>
        <v>43391.78</v>
      </c>
      <c r="J30" s="4"/>
      <c r="K30" s="4">
        <f>18227.56+6231.57+11893.58</f>
        <v>36352.71</v>
      </c>
      <c r="L30" s="4"/>
      <c r="M30" s="4">
        <f>SUM(K30-I30)</f>
        <v>-7039.07</v>
      </c>
      <c r="O30" s="4">
        <f>28482.03+7919.91+28219.7</f>
        <v>64621.64</v>
      </c>
      <c r="Q30" s="4">
        <f t="shared" si="3"/>
        <v>21229.86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 t="shared" si="3"/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 t="shared" si="3"/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647990.94</v>
      </c>
      <c r="J34" s="5"/>
      <c r="K34" s="5">
        <f>SUM(K23:K32)</f>
        <v>602019.94</v>
      </c>
      <c r="L34" s="5"/>
      <c r="M34" s="5">
        <f>SUM(M23:M32)</f>
        <v>-45971.00000000003</v>
      </c>
      <c r="N34" s="4"/>
      <c r="O34" s="5">
        <f>SUM(O23:O32)</f>
        <v>811542.92</v>
      </c>
      <c r="Q34" s="5">
        <f>SUM(Q23:Q32)</f>
        <v>163551.98000000004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51000</v>
      </c>
      <c r="J37" s="4"/>
      <c r="K37" s="4">
        <v>56375</v>
      </c>
      <c r="L37" s="4"/>
      <c r="M37" s="4">
        <f>SUM(K37-I37)</f>
        <v>5375</v>
      </c>
      <c r="O37" s="4">
        <v>54962.41</v>
      </c>
      <c r="Q37" s="4">
        <f>SUM(O37-I37)</f>
        <v>3962.4100000000035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51000</v>
      </c>
      <c r="J39" s="5"/>
      <c r="K39" s="5">
        <f>SUM(K37:K37)</f>
        <v>56375</v>
      </c>
      <c r="L39" s="5"/>
      <c r="M39" s="4">
        <f>SUM(K39-I39)</f>
        <v>5375</v>
      </c>
      <c r="N39" s="5"/>
      <c r="O39" s="5">
        <f>SUM(O37:O37)</f>
        <v>54962.41</v>
      </c>
      <c r="Q39" s="4">
        <f>SUM(O39-I39)</f>
        <v>3962.4100000000035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698990.94</v>
      </c>
      <c r="J41" s="61"/>
      <c r="K41" s="61">
        <f>K34+K39</f>
        <v>658394.94</v>
      </c>
      <c r="L41" s="61"/>
      <c r="M41" s="61">
        <f>M34+M39</f>
        <v>-40596.00000000003</v>
      </c>
      <c r="O41" s="61">
        <f>O34+O39</f>
        <v>866505.3300000001</v>
      </c>
      <c r="Q41" s="61">
        <f>Q34+Q39</f>
        <v>167514.39000000004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67108.41999999993</v>
      </c>
      <c r="J43" s="62"/>
      <c r="K43" s="62">
        <f>K19-K41</f>
        <v>217927.34000000008</v>
      </c>
      <c r="L43" s="62"/>
      <c r="M43" s="62">
        <f>SUM(M41+M19)</f>
        <v>-150818.92000000016</v>
      </c>
      <c r="O43" s="62">
        <f>O19-O41</f>
        <v>10671.419999999925</v>
      </c>
      <c r="Q43" s="62">
        <f>Q19+Q41</f>
        <v>56436.99999999991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136</v>
      </c>
      <c r="B45" s="70"/>
      <c r="C45" s="71"/>
      <c r="D45" s="71"/>
      <c r="E45" s="72"/>
      <c r="H45" s="4"/>
      <c r="I45" s="4"/>
      <c r="K45" s="73"/>
      <c r="O45" s="71"/>
    </row>
    <row r="46" spans="1:17" ht="12.75">
      <c r="A46" s="73"/>
      <c r="B46" s="73" t="s">
        <v>107</v>
      </c>
      <c r="C46" s="70"/>
      <c r="D46" s="71">
        <v>10000</v>
      </c>
      <c r="E46" s="71" t="s">
        <v>137</v>
      </c>
      <c r="F46" s="73" t="s">
        <v>145</v>
      </c>
      <c r="G46" s="70"/>
      <c r="H46" s="71">
        <v>20000</v>
      </c>
      <c r="I46" s="71" t="s">
        <v>146</v>
      </c>
      <c r="J46" s="4"/>
      <c r="K46" s="73"/>
      <c r="L46" s="70"/>
      <c r="M46" s="70"/>
      <c r="N46" s="71"/>
      <c r="O46" s="71"/>
      <c r="P46" s="70"/>
      <c r="Q46" s="70"/>
    </row>
    <row r="47" spans="1:15" ht="12.75">
      <c r="A47" s="73"/>
      <c r="B47" s="73" t="s">
        <v>118</v>
      </c>
      <c r="C47" s="70"/>
      <c r="D47" s="70">
        <v>20000</v>
      </c>
      <c r="E47" s="71" t="s">
        <v>138</v>
      </c>
      <c r="F47" s="73" t="s">
        <v>147</v>
      </c>
      <c r="G47" s="70"/>
      <c r="H47" s="71">
        <v>10000</v>
      </c>
      <c r="I47" s="71" t="s">
        <v>148</v>
      </c>
      <c r="J47" s="4"/>
      <c r="K47" s="73"/>
      <c r="L47" s="70"/>
      <c r="M47" s="71"/>
      <c r="N47" s="71"/>
      <c r="O47" s="71"/>
    </row>
    <row r="48" spans="1:15" ht="12.75">
      <c r="A48" s="73"/>
      <c r="B48" s="73" t="s">
        <v>139</v>
      </c>
      <c r="C48" s="70"/>
      <c r="D48" s="71">
        <v>15000</v>
      </c>
      <c r="E48" s="71" t="s">
        <v>140</v>
      </c>
      <c r="F48" s="73" t="s">
        <v>149</v>
      </c>
      <c r="G48" s="70"/>
      <c r="H48" s="71">
        <v>10000</v>
      </c>
      <c r="I48" s="71" t="s">
        <v>150</v>
      </c>
      <c r="J48" s="4"/>
      <c r="K48" s="73"/>
      <c r="L48" s="70"/>
      <c r="M48" s="70"/>
      <c r="N48" s="71"/>
      <c r="O48" s="71"/>
    </row>
    <row r="49" spans="1:17" ht="12.75">
      <c r="A49" s="73"/>
      <c r="B49" s="73" t="s">
        <v>141</v>
      </c>
      <c r="C49" s="70"/>
      <c r="D49" s="71">
        <v>10000</v>
      </c>
      <c r="E49" s="71" t="s">
        <v>142</v>
      </c>
      <c r="F49" s="73" t="s">
        <v>151</v>
      </c>
      <c r="G49" s="70"/>
      <c r="H49" s="71">
        <v>10000</v>
      </c>
      <c r="I49" s="71" t="s">
        <v>152</v>
      </c>
      <c r="J49" s="4"/>
      <c r="K49" s="73"/>
      <c r="L49" s="70"/>
      <c r="M49" s="70"/>
      <c r="N49" s="71"/>
      <c r="O49" s="71"/>
      <c r="P49" s="70"/>
      <c r="Q49" s="70"/>
    </row>
    <row r="50" spans="1:17" ht="12.75">
      <c r="A50" s="73"/>
      <c r="B50" s="73" t="s">
        <v>143</v>
      </c>
      <c r="C50" s="70"/>
      <c r="D50" s="71">
        <v>3200</v>
      </c>
      <c r="E50" s="71" t="s">
        <v>144</v>
      </c>
      <c r="F50" s="73" t="s">
        <v>153</v>
      </c>
      <c r="G50" s="70"/>
      <c r="H50" s="71">
        <v>10000</v>
      </c>
      <c r="I50" s="71" t="s">
        <v>154</v>
      </c>
      <c r="J50" s="4"/>
      <c r="K50" s="73"/>
      <c r="L50" s="70"/>
      <c r="M50" s="70"/>
      <c r="N50" s="71"/>
      <c r="O50" s="71"/>
      <c r="P50" s="70"/>
      <c r="Q50" s="70"/>
    </row>
    <row r="51" spans="2:15" ht="12.75">
      <c r="B51" s="73"/>
      <c r="C51" s="70"/>
      <c r="D51" s="71"/>
      <c r="E51" s="71"/>
      <c r="G51" s="4"/>
      <c r="I51" s="4"/>
      <c r="J51" s="4"/>
      <c r="N51" s="71"/>
      <c r="O51" s="71"/>
    </row>
    <row r="52" spans="2:14" ht="12.75">
      <c r="B52" s="73"/>
      <c r="C52" s="70"/>
      <c r="D52" s="71"/>
      <c r="E52" s="71"/>
      <c r="G52" s="4"/>
      <c r="I52" s="4"/>
      <c r="J52" s="4"/>
      <c r="N52" s="71"/>
    </row>
    <row r="53" spans="2:10" ht="12.75">
      <c r="B53" s="73"/>
      <c r="C53" s="70"/>
      <c r="D53" s="71"/>
      <c r="E53" s="71"/>
      <c r="G53" s="4"/>
      <c r="I53" s="4"/>
      <c r="J53" s="4"/>
    </row>
    <row r="54" spans="2:14" ht="12.75">
      <c r="B54" s="73"/>
      <c r="C54" s="70"/>
      <c r="D54" s="71"/>
      <c r="E54" s="71"/>
      <c r="G54" s="4"/>
      <c r="I54" s="4"/>
      <c r="J54" s="4"/>
      <c r="N54" s="71"/>
    </row>
    <row r="55" spans="2:14" ht="12.75">
      <c r="B55" s="73"/>
      <c r="C55" s="70"/>
      <c r="D55" s="71"/>
      <c r="E55" s="71"/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4">
      <selection activeCell="A14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42108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46</v>
      </c>
      <c r="J5" s="23"/>
      <c r="K5" s="23" t="s">
        <v>47</v>
      </c>
      <c r="L5" s="23"/>
      <c r="M5" s="26" t="s">
        <v>27</v>
      </c>
      <c r="O5" s="23" t="s">
        <v>46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881236.95+193169.06+9442.81</f>
        <v>1083848.82</v>
      </c>
      <c r="J8" s="4"/>
      <c r="K8" s="4">
        <f>828050.34+189051.53+7150</f>
        <v>1024251.87</v>
      </c>
      <c r="L8" s="4"/>
      <c r="M8" s="4">
        <f aca="true" t="shared" si="0" ref="M8:M14">SUM(I8-K8)</f>
        <v>59596.95000000007</v>
      </c>
      <c r="O8" s="4">
        <f>822923.16+175812.34+7185.82</f>
        <v>1005921.32</v>
      </c>
      <c r="Q8" s="4">
        <f aca="true" t="shared" si="1" ref="Q8:Q14">SUM(I8-O8)</f>
        <v>77927.50000000012</v>
      </c>
      <c r="S8" s="4"/>
      <c r="X8" s="4"/>
    </row>
    <row r="9" spans="4:24" ht="12.75">
      <c r="D9" t="s">
        <v>2</v>
      </c>
      <c r="G9" s="4"/>
      <c r="I9" s="4">
        <f>447032.3-447529.41-11.32</f>
        <v>-508.429999999986</v>
      </c>
      <c r="J9" s="4"/>
      <c r="K9" s="4">
        <f>408980.6-391833.58</f>
        <v>17147.01999999996</v>
      </c>
      <c r="L9" s="4"/>
      <c r="M9" s="4">
        <f t="shared" si="0"/>
        <v>-17655.449999999946</v>
      </c>
      <c r="O9" s="4">
        <f>388799.75-383810.89</f>
        <v>4988.859999999986</v>
      </c>
      <c r="Q9" s="4">
        <f t="shared" si="1"/>
        <v>-5497.289999999972</v>
      </c>
      <c r="S9" s="4"/>
      <c r="X9" s="4"/>
    </row>
    <row r="10" spans="4:24" ht="12.75">
      <c r="D10" t="s">
        <v>3</v>
      </c>
      <c r="G10" s="4"/>
      <c r="I10" s="4">
        <f>72396.81</f>
        <v>72396.81</v>
      </c>
      <c r="J10" s="4"/>
      <c r="K10" s="4">
        <f>64061.32</f>
        <v>64061.32</v>
      </c>
      <c r="L10" s="4"/>
      <c r="M10" s="4">
        <f t="shared" si="0"/>
        <v>8335.489999999998</v>
      </c>
      <c r="O10" s="4">
        <f>68790.4</f>
        <v>68790.4</v>
      </c>
      <c r="Q10" s="4">
        <f t="shared" si="1"/>
        <v>3606.4100000000035</v>
      </c>
      <c r="S10" s="4"/>
      <c r="X10" s="4"/>
    </row>
    <row r="11" spans="4:24" ht="12.75">
      <c r="D11" t="s">
        <v>31</v>
      </c>
      <c r="G11" s="4"/>
      <c r="I11" s="4">
        <f>20688.36</f>
        <v>20688.36</v>
      </c>
      <c r="J11" s="4"/>
      <c r="K11" s="4">
        <f>21404.05</f>
        <v>21404.05</v>
      </c>
      <c r="L11" s="4"/>
      <c r="M11" s="4">
        <f t="shared" si="0"/>
        <v>-715.6899999999987</v>
      </c>
      <c r="O11" s="4">
        <f>21406.65</f>
        <v>21406.65</v>
      </c>
      <c r="Q11" s="4">
        <f t="shared" si="1"/>
        <v>-718.2900000000009</v>
      </c>
      <c r="S11" s="4"/>
      <c r="X11" s="4"/>
    </row>
    <row r="12" spans="4:24" ht="12.75">
      <c r="D12" t="s">
        <v>30</v>
      </c>
      <c r="G12" s="4"/>
      <c r="I12" s="4">
        <f>6481.52</f>
        <v>6481.52</v>
      </c>
      <c r="J12" s="4"/>
      <c r="K12" s="4">
        <f>12387.75</f>
        <v>12387.75</v>
      </c>
      <c r="L12" s="4"/>
      <c r="M12" s="4">
        <f t="shared" si="0"/>
        <v>-5906.23</v>
      </c>
      <c r="O12" s="4">
        <f>12387.84</f>
        <v>12387.84</v>
      </c>
      <c r="Q12" s="4">
        <f t="shared" si="1"/>
        <v>-5906.32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1182907.0800000003</v>
      </c>
      <c r="J16" s="5"/>
      <c r="K16" s="5">
        <f>SUM(K8:K14)</f>
        <v>1139252.01</v>
      </c>
      <c r="L16" s="5"/>
      <c r="M16" s="5">
        <f>SUM(M8:M14)</f>
        <v>43655.07000000012</v>
      </c>
      <c r="N16" s="5"/>
      <c r="O16" s="5">
        <f>SUM(O8:O14)</f>
        <v>1113495.0699999998</v>
      </c>
      <c r="Q16" s="5">
        <f>SUM(Q8:Q14)</f>
        <v>69412.01000000013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1182907.0800000003</v>
      </c>
      <c r="J19" s="55"/>
      <c r="K19" s="55">
        <f>K16</f>
        <v>1139252.01</v>
      </c>
      <c r="L19" s="55"/>
      <c r="M19" s="55">
        <f>M16</f>
        <v>43655.07000000012</v>
      </c>
      <c r="N19" s="54"/>
      <c r="O19" s="55">
        <f>O16</f>
        <v>1113495.0699999998</v>
      </c>
      <c r="P19" s="54"/>
      <c r="Q19" s="56">
        <f>SUM(I19-O19)</f>
        <v>69412.01000000047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113625</v>
      </c>
      <c r="J23" s="4"/>
      <c r="K23" s="4">
        <f>106049.97</f>
        <v>106049.97</v>
      </c>
      <c r="L23" s="4"/>
      <c r="M23" s="4">
        <f aca="true" t="shared" si="2" ref="M23:M29">SUM(K23-I23)</f>
        <v>-7575.029999999999</v>
      </c>
      <c r="O23" s="4">
        <f>113597.25</f>
        <v>113597.25</v>
      </c>
      <c r="Q23" s="4">
        <f aca="true" t="shared" si="3" ref="Q23:Q29">SUM(O23-I23)</f>
        <v>-27.75</v>
      </c>
      <c r="S23" s="4"/>
      <c r="X23" s="4"/>
    </row>
    <row r="24" spans="3:24" ht="12.75">
      <c r="C24" t="s">
        <v>9</v>
      </c>
      <c r="G24" s="4"/>
      <c r="I24" s="4">
        <f>47243.25+277948.38+30117.05+47187</f>
        <v>402495.68</v>
      </c>
      <c r="J24" s="4"/>
      <c r="K24" s="4">
        <f>43446.1+285428.86+28214.82+26823.37</f>
        <v>383913.14999999997</v>
      </c>
      <c r="L24" s="4"/>
      <c r="M24" s="4">
        <f t="shared" si="2"/>
        <v>-18582.530000000028</v>
      </c>
      <c r="O24" s="4">
        <f>285471.57+29625.75+27306.2+45994.86</f>
        <v>388398.38</v>
      </c>
      <c r="Q24" s="4">
        <f t="shared" si="3"/>
        <v>-14097.299999999988</v>
      </c>
      <c r="S24" s="4"/>
      <c r="X24" s="4"/>
    </row>
    <row r="25" spans="3:24" ht="12.75">
      <c r="C25" s="3" t="s">
        <v>12</v>
      </c>
      <c r="G25" s="4"/>
      <c r="I25" s="4">
        <f>96019.9</f>
        <v>96019.9</v>
      </c>
      <c r="J25" s="4"/>
      <c r="K25" s="4">
        <f>74549.87</f>
        <v>74549.87</v>
      </c>
      <c r="L25" s="4"/>
      <c r="M25" s="4">
        <f t="shared" si="2"/>
        <v>-21470.03</v>
      </c>
      <c r="O25" s="4">
        <f>81560.35</f>
        <v>81560.35</v>
      </c>
      <c r="Q25" s="4">
        <f t="shared" si="3"/>
        <v>-14459.549999999988</v>
      </c>
      <c r="S25" s="4"/>
      <c r="X25" s="4"/>
    </row>
    <row r="26" spans="3:24" ht="12.75">
      <c r="C26" t="s">
        <v>33</v>
      </c>
      <c r="G26" s="4"/>
      <c r="I26" s="4">
        <f>23451.17+24537.83+6610.54+23219.93</f>
        <v>77819.47</v>
      </c>
      <c r="J26" s="4" t="s">
        <v>18</v>
      </c>
      <c r="K26" s="4">
        <f>15081.83+21191.36+10758.66+22517.07</f>
        <v>69548.92000000001</v>
      </c>
      <c r="L26" s="4"/>
      <c r="M26" s="4">
        <f t="shared" si="2"/>
        <v>-8270.549999999988</v>
      </c>
      <c r="O26" s="4">
        <f>8796.91+21661.25+11880.09+24489.22</f>
        <v>66827.47</v>
      </c>
      <c r="Q26" s="4">
        <f t="shared" si="3"/>
        <v>-10992</v>
      </c>
      <c r="S26" s="4"/>
      <c r="X26" s="4"/>
    </row>
    <row r="27" spans="3:24" ht="12.75">
      <c r="C27" t="s">
        <v>10</v>
      </c>
      <c r="G27" s="4"/>
      <c r="I27" s="4">
        <f>64643.01</f>
        <v>64643.01</v>
      </c>
      <c r="J27" s="4"/>
      <c r="K27" s="4">
        <f>48218.46</f>
        <v>48218.46</v>
      </c>
      <c r="L27" s="4"/>
      <c r="M27" s="4">
        <f t="shared" si="2"/>
        <v>-16424.550000000003</v>
      </c>
      <c r="O27" s="4">
        <f>51786.04</f>
        <v>51786.04</v>
      </c>
      <c r="Q27" s="4">
        <f t="shared" si="3"/>
        <v>-12856.970000000001</v>
      </c>
      <c r="S27" s="4"/>
      <c r="X27" s="4"/>
    </row>
    <row r="28" spans="3:24" ht="12.75">
      <c r="C28" t="s">
        <v>11</v>
      </c>
      <c r="G28" s="4"/>
      <c r="I28" s="4">
        <f>17883.92</f>
        <v>17883.92</v>
      </c>
      <c r="J28" s="4"/>
      <c r="K28" s="4">
        <f>15657.41</f>
        <v>15657.41</v>
      </c>
      <c r="L28" s="4"/>
      <c r="M28" s="4">
        <f t="shared" si="2"/>
        <v>-2226.5099999999984</v>
      </c>
      <c r="O28" s="4">
        <f>10991.82</f>
        <v>10991.82</v>
      </c>
      <c r="Q28" s="4">
        <f t="shared" si="3"/>
        <v>-6892.0999999999985</v>
      </c>
      <c r="S28" s="4"/>
      <c r="X28" s="4"/>
    </row>
    <row r="29" spans="3:24" ht="12.75">
      <c r="C29" s="3" t="s">
        <v>40</v>
      </c>
      <c r="G29" s="4"/>
      <c r="I29" s="4">
        <f>72332.11+41329.68</f>
        <v>113661.79000000001</v>
      </c>
      <c r="J29" s="4"/>
      <c r="K29" s="4">
        <f>76648.45+35926.23</f>
        <v>112574.68</v>
      </c>
      <c r="L29" s="4"/>
      <c r="M29" s="4">
        <f t="shared" si="2"/>
        <v>-1087.1100000000151</v>
      </c>
      <c r="O29" s="4">
        <f>98535.35+45704.69</f>
        <v>144240.04</v>
      </c>
      <c r="Q29" s="4">
        <f t="shared" si="3"/>
        <v>30578.25</v>
      </c>
      <c r="S29" s="4"/>
      <c r="X29" s="4"/>
    </row>
    <row r="30" spans="3:24" ht="12.75">
      <c r="C30" s="47" t="s">
        <v>41</v>
      </c>
      <c r="G30" s="4"/>
      <c r="I30" s="4">
        <f>85549.25</f>
        <v>85549.25</v>
      </c>
      <c r="J30" s="4"/>
      <c r="K30" s="4">
        <f>117238.79</f>
        <v>117238.79</v>
      </c>
      <c r="L30" s="4"/>
      <c r="M30" s="4">
        <f>SUM(K30-I30)</f>
        <v>31689.539999999994</v>
      </c>
      <c r="O30" s="4">
        <f>111778.62</f>
        <v>111778.62</v>
      </c>
      <c r="Q30" s="4">
        <f>SUM(O30-I30)</f>
        <v>26229.369999999995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1068281.4300000002</v>
      </c>
      <c r="J34" s="5"/>
      <c r="K34" s="5">
        <f>SUM(K23:K32)</f>
        <v>1034072.3999999999</v>
      </c>
      <c r="L34" s="5"/>
      <c r="M34" s="5">
        <f>SUM(M23:M32)</f>
        <v>-34209.03000000004</v>
      </c>
      <c r="N34" s="4"/>
      <c r="O34" s="5">
        <f>SUM(O23:O32)</f>
        <v>969179.97</v>
      </c>
      <c r="Q34" s="5">
        <f>SUM(Q23:Q32)</f>
        <v>-99101.45999999998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1219324.4300000002</v>
      </c>
      <c r="J41" s="55"/>
      <c r="K41" s="55">
        <f>K34+K39</f>
        <v>1191046.4</v>
      </c>
      <c r="L41" s="55"/>
      <c r="M41" s="55">
        <f>M34+M39</f>
        <v>-28278.030000000042</v>
      </c>
      <c r="N41" s="54"/>
      <c r="O41" s="55">
        <f>O34+O39</f>
        <v>1174029.97</v>
      </c>
      <c r="P41" s="54"/>
      <c r="Q41" s="55">
        <f>Q34+Q39</f>
        <v>-45294.45999999998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-36417.34999999986</v>
      </c>
      <c r="J43" s="28"/>
      <c r="K43" s="28">
        <f>K19-K41</f>
        <v>-51794.3899999999</v>
      </c>
      <c r="L43" s="28"/>
      <c r="M43" s="28">
        <f>SUM(M41+M19)</f>
        <v>15377.04000000008</v>
      </c>
      <c r="N43" s="34"/>
      <c r="O43" s="28">
        <f>O19-O41</f>
        <v>-60534.90000000014</v>
      </c>
      <c r="P43" s="34"/>
      <c r="Q43" s="28">
        <f>Q19+Q41</f>
        <v>24117.550000000498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Q39" sqref="Q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42200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48</v>
      </c>
      <c r="J5" s="23"/>
      <c r="K5" s="23" t="s">
        <v>49</v>
      </c>
      <c r="L5" s="23"/>
      <c r="M5" s="26" t="s">
        <v>27</v>
      </c>
      <c r="O5" s="23" t="s">
        <v>48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940546.75+261319.11+9692.81</f>
        <v>1211558.67</v>
      </c>
      <c r="J8" s="4"/>
      <c r="K8" s="4">
        <f>915367.2+244159.02+7850</f>
        <v>1167376.22</v>
      </c>
      <c r="L8" s="4"/>
      <c r="M8" s="4">
        <f aca="true" t="shared" si="0" ref="M8:M14">SUM(I8-K8)</f>
        <v>44182.44999999995</v>
      </c>
      <c r="O8" s="4">
        <f>909699.37+226842.28+7900.36</f>
        <v>1144442.01</v>
      </c>
      <c r="Q8" s="4">
        <f aca="true" t="shared" si="1" ref="Q8:Q14">SUM(I8-O8)</f>
        <v>67116.65999999992</v>
      </c>
      <c r="S8" s="4"/>
      <c r="X8" s="4"/>
    </row>
    <row r="9" spans="4:24" ht="12.75">
      <c r="D9" t="s">
        <v>2</v>
      </c>
      <c r="G9" s="4"/>
      <c r="I9" s="4">
        <f>450485.68-450211.4-11.32</f>
        <v>262.95999999996974</v>
      </c>
      <c r="J9" s="4"/>
      <c r="K9" s="4">
        <f>441185.69-427709.77</f>
        <v>13475.919999999984</v>
      </c>
      <c r="L9" s="4"/>
      <c r="M9" s="4">
        <f t="shared" si="0"/>
        <v>-13212.960000000014</v>
      </c>
      <c r="O9" s="4">
        <f>420646.44-445426.82</f>
        <v>-24780.380000000005</v>
      </c>
      <c r="Q9" s="4">
        <f t="shared" si="1"/>
        <v>25043.339999999975</v>
      </c>
      <c r="S9" s="4"/>
      <c r="X9" s="4"/>
    </row>
    <row r="10" spans="4:24" ht="12.75">
      <c r="D10" t="s">
        <v>3</v>
      </c>
      <c r="G10" s="4"/>
      <c r="I10" s="4">
        <f>74101.81</f>
        <v>74101.81</v>
      </c>
      <c r="J10" s="4"/>
      <c r="K10" s="4">
        <f>68878.35</f>
        <v>68878.35</v>
      </c>
      <c r="L10" s="4"/>
      <c r="M10" s="4">
        <f t="shared" si="0"/>
        <v>5223.459999999992</v>
      </c>
      <c r="O10" s="4">
        <f>74750.32</f>
        <v>74750.32</v>
      </c>
      <c r="Q10" s="4">
        <f t="shared" si="1"/>
        <v>-648.5100000000093</v>
      </c>
      <c r="S10" s="4"/>
      <c r="X10" s="4"/>
    </row>
    <row r="11" spans="4:24" ht="12.75">
      <c r="D11" t="s">
        <v>31</v>
      </c>
      <c r="G11" s="4"/>
      <c r="I11" s="4">
        <f>23519.32</f>
        <v>23519.32</v>
      </c>
      <c r="J11" s="4"/>
      <c r="K11" s="4">
        <f>21477.32</f>
        <v>21477.32</v>
      </c>
      <c r="L11" s="4"/>
      <c r="M11" s="4">
        <f t="shared" si="0"/>
        <v>2042</v>
      </c>
      <c r="O11" s="4">
        <f>21471.24</f>
        <v>21471.24</v>
      </c>
      <c r="Q11" s="4">
        <f t="shared" si="1"/>
        <v>2048.079999999998</v>
      </c>
      <c r="S11" s="4"/>
      <c r="X11" s="4"/>
    </row>
    <row r="12" spans="4:24" ht="12.75">
      <c r="D12" t="s">
        <v>30</v>
      </c>
      <c r="G12" s="4"/>
      <c r="I12" s="4">
        <f>18327.07</f>
        <v>18327.07</v>
      </c>
      <c r="J12" s="4"/>
      <c r="K12" s="4">
        <f>12387.75</f>
        <v>12387.75</v>
      </c>
      <c r="L12" s="4"/>
      <c r="M12" s="4">
        <f t="shared" si="0"/>
        <v>5939.32</v>
      </c>
      <c r="O12" s="4">
        <f>12387.84</f>
        <v>12387.84</v>
      </c>
      <c r="Q12" s="4">
        <f t="shared" si="1"/>
        <v>5939.23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24670</f>
        <v>24670</v>
      </c>
      <c r="L13" s="4"/>
      <c r="M13" s="4">
        <f t="shared" si="0"/>
        <v>-24670</v>
      </c>
      <c r="O13" s="4">
        <f>2172.08</f>
        <v>2172.08</v>
      </c>
      <c r="Q13" s="4">
        <f t="shared" si="1"/>
        <v>-2172.08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1327769.83</v>
      </c>
      <c r="J16" s="5"/>
      <c r="K16" s="5">
        <f>SUM(K8:K14)</f>
        <v>1308265.56</v>
      </c>
      <c r="L16" s="5"/>
      <c r="M16" s="5">
        <f>SUM(M8:M14)</f>
        <v>19504.26999999993</v>
      </c>
      <c r="N16" s="5"/>
      <c r="O16" s="5">
        <f>SUM(O8:O14)</f>
        <v>1230443.11</v>
      </c>
      <c r="Q16" s="5">
        <f>SUM(Q8:Q14)</f>
        <v>97326.71999999987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1327769.83</v>
      </c>
      <c r="J19" s="55"/>
      <c r="K19" s="55">
        <f>K16</f>
        <v>1308265.56</v>
      </c>
      <c r="L19" s="55"/>
      <c r="M19" s="55">
        <f>M16</f>
        <v>19504.26999999993</v>
      </c>
      <c r="N19" s="54"/>
      <c r="O19" s="55">
        <f>O16</f>
        <v>1230443.11</v>
      </c>
      <c r="P19" s="54"/>
      <c r="Q19" s="56">
        <f>SUM(I19-O19)</f>
        <v>97326.71999999997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126250</f>
        <v>126250</v>
      </c>
      <c r="J23" s="4"/>
      <c r="K23" s="4">
        <f>117833.3</f>
        <v>117833.3</v>
      </c>
      <c r="L23" s="4"/>
      <c r="M23" s="4">
        <f aca="true" t="shared" si="2" ref="M23:M29">SUM(K23-I23)</f>
        <v>-8416.699999999997</v>
      </c>
      <c r="O23" s="4">
        <v>126219.17</v>
      </c>
      <c r="Q23" s="4">
        <f aca="true" t="shared" si="3" ref="Q23:Q29">SUM(O23-I23)</f>
        <v>-30.830000000001746</v>
      </c>
      <c r="S23" s="4"/>
      <c r="X23" s="4"/>
    </row>
    <row r="24" spans="3:24" ht="12.75">
      <c r="C24" t="s">
        <v>9</v>
      </c>
      <c r="G24" s="4"/>
      <c r="I24" s="4">
        <f>53397.93+318380.26+33463.38+50878.18</f>
        <v>456119.75</v>
      </c>
      <c r="J24" s="4"/>
      <c r="K24" s="4">
        <f>50093.75+330506.07+31349.8+30810.88</f>
        <v>442760.5</v>
      </c>
      <c r="L24" s="4"/>
      <c r="M24" s="4">
        <f t="shared" si="2"/>
        <v>-13359.25</v>
      </c>
      <c r="O24" s="4">
        <f>330555.52+53177.12+32917.5+31496.76</f>
        <v>448146.9</v>
      </c>
      <c r="Q24" s="4">
        <f t="shared" si="3"/>
        <v>-7972.849999999977</v>
      </c>
      <c r="S24" s="4"/>
      <c r="X24" s="4"/>
    </row>
    <row r="25" spans="3:24" ht="12.75">
      <c r="C25" s="3" t="s">
        <v>12</v>
      </c>
      <c r="G25" s="4"/>
      <c r="I25" s="4">
        <f>107403.85</f>
        <v>107403.85</v>
      </c>
      <c r="J25" s="4"/>
      <c r="K25" s="4">
        <f>83456.86</f>
        <v>83456.86</v>
      </c>
      <c r="L25" s="4"/>
      <c r="M25" s="4">
        <f t="shared" si="2"/>
        <v>-23946.990000000005</v>
      </c>
      <c r="O25" s="4">
        <f>90637.58</f>
        <v>90637.58</v>
      </c>
      <c r="Q25" s="4">
        <f t="shared" si="3"/>
        <v>-16766.270000000004</v>
      </c>
      <c r="S25" s="4"/>
      <c r="X25" s="4"/>
    </row>
    <row r="26" spans="3:24" ht="12.75">
      <c r="C26" t="s">
        <v>33</v>
      </c>
      <c r="G26" s="4"/>
      <c r="I26" s="4">
        <f>24444.47+26643.34+7655.95+27546.53</f>
        <v>86290.29</v>
      </c>
      <c r="J26" s="4" t="s">
        <v>18</v>
      </c>
      <c r="K26" s="4">
        <f>20855.46+26176.8+12193.57+25426.73</f>
        <v>84652.56</v>
      </c>
      <c r="L26" s="4"/>
      <c r="M26" s="4">
        <f t="shared" si="2"/>
        <v>-1637.729999999996</v>
      </c>
      <c r="O26" s="4">
        <f>13035.83+26307.31+13446.85+27637.58</f>
        <v>80427.57</v>
      </c>
      <c r="Q26" s="4">
        <f t="shared" si="3"/>
        <v>-5862.719999999987</v>
      </c>
      <c r="S26" s="4"/>
      <c r="X26" s="4"/>
    </row>
    <row r="27" spans="3:24" ht="12.75">
      <c r="C27" t="s">
        <v>10</v>
      </c>
      <c r="G27" s="4"/>
      <c r="I27" s="4">
        <f>76382.5</f>
        <v>76382.5</v>
      </c>
      <c r="J27" s="4"/>
      <c r="K27" s="4">
        <f>57092.46</f>
        <v>57092.46</v>
      </c>
      <c r="L27" s="4"/>
      <c r="M27" s="4">
        <f t="shared" si="2"/>
        <v>-19290.04</v>
      </c>
      <c r="O27" s="4">
        <f>62241.14</f>
        <v>62241.14</v>
      </c>
      <c r="Q27" s="4">
        <f t="shared" si="3"/>
        <v>-14141.36</v>
      </c>
      <c r="S27" s="4"/>
      <c r="X27" s="4"/>
    </row>
    <row r="28" spans="3:24" ht="12.75">
      <c r="C28" t="s">
        <v>11</v>
      </c>
      <c r="G28" s="4"/>
      <c r="I28" s="4">
        <f>19070.77</f>
        <v>19070.77</v>
      </c>
      <c r="J28" s="4"/>
      <c r="K28" s="4">
        <f>17370.16</f>
        <v>17370.16</v>
      </c>
      <c r="L28" s="4"/>
      <c r="M28" s="4">
        <f t="shared" si="2"/>
        <v>-1700.6100000000006</v>
      </c>
      <c r="O28" s="4">
        <f>12078.74</f>
        <v>12078.74</v>
      </c>
      <c r="Q28" s="4">
        <f t="shared" si="3"/>
        <v>-6992.030000000001</v>
      </c>
      <c r="S28" s="4"/>
      <c r="X28" s="4"/>
    </row>
    <row r="29" spans="3:24" ht="12.75">
      <c r="C29" s="3" t="s">
        <v>40</v>
      </c>
      <c r="G29" s="4"/>
      <c r="I29" s="4">
        <f>79464.09+46003.91</f>
        <v>125468</v>
      </c>
      <c r="J29" s="4"/>
      <c r="K29" s="4">
        <f>84576.05+37898.05</f>
        <v>122474.1</v>
      </c>
      <c r="L29" s="4"/>
      <c r="M29" s="4">
        <f t="shared" si="2"/>
        <v>-2993.899999999994</v>
      </c>
      <c r="O29" s="4">
        <f>107900.58+47407.59</f>
        <v>155308.16999999998</v>
      </c>
      <c r="Q29" s="4">
        <f t="shared" si="3"/>
        <v>29840.169999999984</v>
      </c>
      <c r="S29" s="4"/>
      <c r="X29" s="4"/>
    </row>
    <row r="30" spans="3:24" ht="12.75">
      <c r="C30" s="47" t="s">
        <v>41</v>
      </c>
      <c r="G30" s="4"/>
      <c r="I30" s="4">
        <f>101566.42</f>
        <v>101566.42</v>
      </c>
      <c r="J30" s="4"/>
      <c r="K30" s="4">
        <f>127980.95</f>
        <v>127980.95</v>
      </c>
      <c r="L30" s="4"/>
      <c r="M30" s="4">
        <f>SUM(K30-I30)</f>
        <v>26414.53</v>
      </c>
      <c r="O30" s="4">
        <f>123204.78</f>
        <v>123204.78</v>
      </c>
      <c r="Q30" s="4">
        <f>SUM(O30-I30)</f>
        <v>21638.36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1195134.99</v>
      </c>
      <c r="J34" s="5"/>
      <c r="K34" s="5">
        <f>SUM(K23:K32)</f>
        <v>1159942.0399999998</v>
      </c>
      <c r="L34" s="5"/>
      <c r="M34" s="5">
        <f>SUM(M23:M32)</f>
        <v>-35192.95</v>
      </c>
      <c r="N34" s="4"/>
      <c r="O34" s="5">
        <f>SUM(O23:O32)</f>
        <v>1098264.05</v>
      </c>
      <c r="Q34" s="5">
        <f>SUM(Q23:Q32)</f>
        <v>-96870.93999999999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1346177.99</v>
      </c>
      <c r="J41" s="55"/>
      <c r="K41" s="55">
        <f>K34+K39</f>
        <v>1316916.0399999998</v>
      </c>
      <c r="L41" s="55"/>
      <c r="M41" s="55">
        <f>M34+M39</f>
        <v>-29261.949999999997</v>
      </c>
      <c r="N41" s="54"/>
      <c r="O41" s="55">
        <f>O34+O39</f>
        <v>1303114.05</v>
      </c>
      <c r="P41" s="54"/>
      <c r="Q41" s="55">
        <f>Q34+Q39</f>
        <v>-43063.93999999999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-18408.159999999916</v>
      </c>
      <c r="J43" s="28"/>
      <c r="K43" s="28">
        <f>K19-K41</f>
        <v>-8650.479999999749</v>
      </c>
      <c r="L43" s="28"/>
      <c r="M43" s="28">
        <f>SUM(M41+M19)</f>
        <v>-9757.680000000066</v>
      </c>
      <c r="N43" s="34"/>
      <c r="O43" s="28">
        <f>O19-O41</f>
        <v>-72670.93999999994</v>
      </c>
      <c r="P43" s="34"/>
      <c r="Q43" s="28">
        <f>Q19+Q41</f>
        <v>54262.779999999984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42263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50</v>
      </c>
      <c r="J5" s="23"/>
      <c r="K5" s="23" t="s">
        <v>38</v>
      </c>
      <c r="L5" s="23"/>
      <c r="M5" s="26" t="s">
        <v>27</v>
      </c>
      <c r="O5" s="23" t="s">
        <v>50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189723.14+25569.88+1350</f>
        <v>216643.02000000002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-8096.380000000005</v>
      </c>
      <c r="O8" s="4">
        <f>1092875.47+270935.25+9448.26</f>
        <v>1373258.98</v>
      </c>
      <c r="Q8" s="4">
        <f aca="true" t="shared" si="1" ref="Q8:Q14">SUM(I8-O8)</f>
        <v>-1156615.96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581284.21-545003.59</f>
        <v>36280.619999999995</v>
      </c>
      <c r="Q9" s="4">
        <f t="shared" si="1"/>
        <v>-18429.64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85400.63</f>
        <v>85400.63</v>
      </c>
      <c r="Q10" s="4">
        <f t="shared" si="1"/>
        <v>-45491.600000000006</v>
      </c>
      <c r="S10" s="4"/>
      <c r="X10" s="4"/>
    </row>
    <row r="11" spans="4:24" ht="12.75">
      <c r="D11" t="s">
        <v>31</v>
      </c>
      <c r="G11" s="4"/>
      <c r="I11" s="4">
        <f>3325.84+245.95</f>
        <v>3571.79</v>
      </c>
      <c r="J11" s="4"/>
      <c r="K11" s="4">
        <f>188.9+5212.06</f>
        <v>5400.96</v>
      </c>
      <c r="L11" s="4"/>
      <c r="M11" s="4">
        <f t="shared" si="0"/>
        <v>-1829.17</v>
      </c>
      <c r="O11" s="4">
        <f>25529.22</f>
        <v>25529.22</v>
      </c>
      <c r="Q11" s="4">
        <f t="shared" si="1"/>
        <v>-21957.43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12466.69</f>
        <v>12466.69</v>
      </c>
      <c r="Q12" s="4">
        <f t="shared" si="1"/>
        <v>-12427.890000000001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11757.68-11187.4</f>
        <v>570.2800000000007</v>
      </c>
      <c r="L13" s="4"/>
      <c r="M13" s="4">
        <f t="shared" si="0"/>
        <v>-570.2800000000007</v>
      </c>
      <c r="O13" s="4">
        <v>29000</v>
      </c>
      <c r="Q13" s="4">
        <f t="shared" si="1"/>
        <v>-29000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278013.62</v>
      </c>
      <c r="J16" s="5"/>
      <c r="K16" s="5">
        <f>SUM(K8:K14)</f>
        <v>290159.8500000001</v>
      </c>
      <c r="L16" s="5"/>
      <c r="M16" s="5">
        <f>SUM(M8:M14)</f>
        <v>-12146.230000000001</v>
      </c>
      <c r="N16" s="5"/>
      <c r="O16" s="5">
        <f>SUM(O8:O14)</f>
        <v>1561936.14</v>
      </c>
      <c r="Q16" s="5">
        <f>SUM(Q8:Q14)</f>
        <v>-1283922.5199999998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278013.62</v>
      </c>
      <c r="J19" s="55"/>
      <c r="K19" s="55">
        <f>K16</f>
        <v>290159.8500000001</v>
      </c>
      <c r="L19" s="55"/>
      <c r="M19" s="55">
        <f>M16</f>
        <v>-12146.230000000001</v>
      </c>
      <c r="N19" s="54"/>
      <c r="O19" s="55">
        <f>O16</f>
        <v>1561936.14</v>
      </c>
      <c r="P19" s="54"/>
      <c r="Q19" s="56">
        <f>SUM(I19-O19)</f>
        <v>-1283922.52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151500</f>
        <v>151500</v>
      </c>
      <c r="L23" s="4"/>
      <c r="M23" s="4">
        <f aca="true" t="shared" si="2" ref="M23:M29">SUM(K23-I23)</f>
        <v>125683.26</v>
      </c>
      <c r="O23" s="4">
        <v>151463</v>
      </c>
      <c r="Q23" s="4">
        <f aca="true" t="shared" si="3" ref="Q23:Q29">SUM(O23-I23)</f>
        <v>125646.26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7793.13+59462.98+3602.84</f>
        <v>70858.95</v>
      </c>
      <c r="L24" s="4"/>
      <c r="M24" s="4">
        <f t="shared" si="2"/>
        <v>-953.9700000000012</v>
      </c>
      <c r="O24" s="4">
        <f>65967.74+390320.9+39501+35244.32</f>
        <v>531033.96</v>
      </c>
      <c r="Q24" s="4">
        <f t="shared" si="3"/>
        <v>459221.04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32804.06</f>
        <v>32804.06</v>
      </c>
      <c r="L25" s="4"/>
      <c r="M25" s="4">
        <f t="shared" si="2"/>
        <v>14623.599999999999</v>
      </c>
      <c r="O25" s="4">
        <f>142774.08</f>
        <v>142774.08</v>
      </c>
      <c r="Q25" s="4">
        <f t="shared" si="3"/>
        <v>124593.62</v>
      </c>
      <c r="S25" s="4"/>
      <c r="X25" s="4"/>
    </row>
    <row r="26" spans="3:24" ht="12.75">
      <c r="C26" t="s">
        <v>33</v>
      </c>
      <c r="G26" s="4"/>
      <c r="I26" s="4">
        <f>2344.91+2344.52+1965.24+2021.93</f>
        <v>8676.6</v>
      </c>
      <c r="J26" s="4" t="s">
        <v>18</v>
      </c>
      <c r="K26" s="4">
        <f>2560.66+1102.73+5430.2+2025.2</f>
        <v>11118.79</v>
      </c>
      <c r="L26" s="4"/>
      <c r="M26" s="4">
        <f t="shared" si="2"/>
        <v>2442.1900000000005</v>
      </c>
      <c r="O26" s="4">
        <f>16816.35+31506.4+14676.18+30346.77</f>
        <v>93345.7</v>
      </c>
      <c r="Q26" s="4">
        <f t="shared" si="3"/>
        <v>84669.09999999999</v>
      </c>
      <c r="S26" s="4"/>
      <c r="X26" s="4"/>
    </row>
    <row r="27" spans="3:24" ht="12.75">
      <c r="C27" t="s">
        <v>10</v>
      </c>
      <c r="G27" s="4"/>
      <c r="I27" s="4">
        <f>27908.63</f>
        <v>27908.63</v>
      </c>
      <c r="J27" s="4"/>
      <c r="K27" s="4">
        <v>28617.74</v>
      </c>
      <c r="L27" s="4"/>
      <c r="M27" s="4">
        <f t="shared" si="2"/>
        <v>709.1100000000006</v>
      </c>
      <c r="O27" s="4">
        <f>72610.72</f>
        <v>72610.72</v>
      </c>
      <c r="Q27" s="4">
        <f t="shared" si="3"/>
        <v>44702.09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2865.49</f>
        <v>2865.49</v>
      </c>
      <c r="L28" s="4"/>
      <c r="M28" s="4">
        <f t="shared" si="2"/>
        <v>1397.7199999999998</v>
      </c>
      <c r="O28" s="4">
        <f>21107.57</f>
        <v>21107.57</v>
      </c>
      <c r="Q28" s="4">
        <f t="shared" si="3"/>
        <v>19639.8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31688.05</f>
        <v>31688.05</v>
      </c>
      <c r="L29" s="4"/>
      <c r="M29" s="4">
        <f t="shared" si="2"/>
        <v>14548.099999999999</v>
      </c>
      <c r="O29" s="4">
        <f>145374.2+52659.64</f>
        <v>198033.84000000003</v>
      </c>
      <c r="Q29" s="4">
        <f t="shared" si="3"/>
        <v>180893.89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24770.41</f>
        <v>24770.41</v>
      </c>
      <c r="L30" s="4"/>
      <c r="M30" s="4">
        <f>SUM(K30-I30)</f>
        <v>9632.6</v>
      </c>
      <c r="O30" s="4">
        <f>137034.98</f>
        <v>137034.98</v>
      </c>
      <c r="Q30" s="4">
        <f>SUM(O30-I30)</f>
        <v>121897.17000000001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186141.29</v>
      </c>
      <c r="J34" s="5"/>
      <c r="K34" s="5">
        <f>SUM(K23:K32)</f>
        <v>354223.48999999993</v>
      </c>
      <c r="L34" s="5"/>
      <c r="M34" s="5">
        <f>SUM(M23:M32)</f>
        <v>168082.2</v>
      </c>
      <c r="N34" s="4"/>
      <c r="O34" s="5">
        <f>SUM(O23:O32)</f>
        <v>1347403.8499999999</v>
      </c>
      <c r="Q34" s="5">
        <f>SUM(Q23:Q32)</f>
        <v>1161262.56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204850</v>
      </c>
      <c r="Q37" s="4">
        <f>SUM(O37-I37)</f>
        <v>204850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204850</v>
      </c>
      <c r="Q39" s="4">
        <f>SUM(O39-I39)</f>
        <v>204850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186141.29</v>
      </c>
      <c r="J41" s="55"/>
      <c r="K41" s="55">
        <f>K34+K39</f>
        <v>353723.48999999993</v>
      </c>
      <c r="L41" s="55"/>
      <c r="M41" s="55">
        <f>M34+M39</f>
        <v>167582.2</v>
      </c>
      <c r="N41" s="54"/>
      <c r="O41" s="55">
        <f>O34+O39</f>
        <v>1552253.8499999999</v>
      </c>
      <c r="P41" s="54"/>
      <c r="Q41" s="55">
        <f>Q34+Q39</f>
        <v>1366112.56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91872.32999999999</v>
      </c>
      <c r="J43" s="28"/>
      <c r="K43" s="28">
        <f>K19-K41</f>
        <v>-63563.63999999984</v>
      </c>
      <c r="L43" s="28"/>
      <c r="M43" s="28">
        <f>SUM(M41+M19)</f>
        <v>155435.97</v>
      </c>
      <c r="N43" s="34"/>
      <c r="O43" s="28">
        <f>O19-O41</f>
        <v>9682.290000000037</v>
      </c>
      <c r="P43" s="34"/>
      <c r="Q43" s="28">
        <f>Q19+Q41</f>
        <v>82190.04000000004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7">
      <selection activeCell="K23" sqref="K2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189623.14+25569.88+1350</f>
        <v>216543.02000000002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-8196.380000000005</v>
      </c>
      <c r="O8" s="4">
        <f>206022.9+18382.12+1870.21</f>
        <v>226275.22999999998</v>
      </c>
      <c r="Q8" s="4">
        <f aca="true" t="shared" si="1" ref="Q8:Q14">SUM(I8-O8)</f>
        <v>-9732.209999999963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84001.01-69235.44</f>
        <v>14765.569999999992</v>
      </c>
      <c r="Q9" s="4">
        <f t="shared" si="1"/>
        <v>3085.4100000000035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31242.07</f>
        <v>31242.07</v>
      </c>
      <c r="Q10" s="4">
        <f t="shared" si="1"/>
        <v>8666.96</v>
      </c>
      <c r="S10" s="4"/>
      <c r="X10" s="4"/>
    </row>
    <row r="11" spans="4:24" ht="12.75">
      <c r="D11" t="s">
        <v>31</v>
      </c>
      <c r="G11" s="4"/>
      <c r="I11" s="4">
        <f>3325.84+249.83</f>
        <v>3575.67</v>
      </c>
      <c r="J11" s="4"/>
      <c r="K11" s="4">
        <f>5200</f>
        <v>5200</v>
      </c>
      <c r="L11" s="4"/>
      <c r="M11" s="4">
        <f t="shared" si="0"/>
        <v>-1624.33</v>
      </c>
      <c r="O11" s="4">
        <f>89.54+4844.99</f>
        <v>4934.53</v>
      </c>
      <c r="Q11" s="4">
        <f t="shared" si="1"/>
        <v>-1358.8599999999997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2722.42</f>
        <v>2722.42</v>
      </c>
      <c r="Q12" s="4">
        <f t="shared" si="1"/>
        <v>-2683.62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277917.5</v>
      </c>
      <c r="J16" s="5"/>
      <c r="K16" s="5">
        <f>SUM(K8:K14)</f>
        <v>289388.61000000004</v>
      </c>
      <c r="L16" s="5"/>
      <c r="M16" s="5">
        <f>SUM(M8:M14)</f>
        <v>-11471.11</v>
      </c>
      <c r="N16" s="5"/>
      <c r="O16" s="5">
        <f>SUM(O8:O14)</f>
        <v>279939.82</v>
      </c>
      <c r="Q16" s="5">
        <f>SUM(Q8:Q14)</f>
        <v>-2022.3199999999597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277917.5</v>
      </c>
      <c r="J19" s="55"/>
      <c r="K19" s="55">
        <f>K16</f>
        <v>289388.61000000004</v>
      </c>
      <c r="L19" s="55"/>
      <c r="M19" s="55">
        <f>M16</f>
        <v>-11471.11</v>
      </c>
      <c r="N19" s="54"/>
      <c r="O19" s="55">
        <f>O16</f>
        <v>279939.82</v>
      </c>
      <c r="P19" s="54"/>
      <c r="Q19" s="56">
        <f>SUM(I19-O19)</f>
        <v>-2022.320000000007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25250</f>
        <v>25250</v>
      </c>
      <c r="L23" s="4"/>
      <c r="M23" s="4">
        <f aca="true" t="shared" si="2" ref="M23:M29">SUM(K23-I23)</f>
        <v>-566.7400000000016</v>
      </c>
      <c r="O23" s="4">
        <f>25322.5</f>
        <v>25322.5</v>
      </c>
      <c r="Q23" s="4">
        <f aca="true" t="shared" si="3" ref="Q23:Q29">SUM(O23-I23)</f>
        <v>-494.2400000000016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9373.13+59462.98+3620.12</f>
        <v>72456.23</v>
      </c>
      <c r="L24" s="4"/>
      <c r="M24" s="4">
        <f t="shared" si="2"/>
        <v>643.3099999999977</v>
      </c>
      <c r="O24" s="4">
        <f>9720.28+58985.71+3778.15</f>
        <v>72484.14</v>
      </c>
      <c r="Q24" s="4">
        <f t="shared" si="3"/>
        <v>671.2200000000012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18034.26</f>
        <v>18034.26</v>
      </c>
      <c r="L25" s="4"/>
      <c r="M25" s="4">
        <f t="shared" si="2"/>
        <v>-146.20000000000073</v>
      </c>
      <c r="O25" s="4">
        <f>22885.3</f>
        <v>22885.3</v>
      </c>
      <c r="Q25" s="4">
        <f t="shared" si="3"/>
        <v>4704.84</v>
      </c>
      <c r="S25" s="4"/>
      <c r="X25" s="4"/>
    </row>
    <row r="26" spans="3:24" ht="12.75">
      <c r="C26" t="s">
        <v>33</v>
      </c>
      <c r="G26" s="4"/>
      <c r="I26" s="4">
        <f>2344.91+2344.52+2128.11+2021.93</f>
        <v>8839.470000000001</v>
      </c>
      <c r="J26" s="4" t="s">
        <v>18</v>
      </c>
      <c r="K26" s="4">
        <f>2425.2+2560++1102.73+4683.45</f>
        <v>10771.380000000001</v>
      </c>
      <c r="L26" s="4"/>
      <c r="M26" s="4">
        <f t="shared" si="2"/>
        <v>1931.9099999999999</v>
      </c>
      <c r="O26" s="4">
        <f>2254.32+2598.35+1201.19+4995.33</f>
        <v>11049.19</v>
      </c>
      <c r="Q26" s="4">
        <f t="shared" si="3"/>
        <v>2209.7199999999993</v>
      </c>
      <c r="S26" s="4"/>
      <c r="X26" s="4"/>
    </row>
    <row r="27" spans="3:24" ht="12.75">
      <c r="C27" t="s">
        <v>10</v>
      </c>
      <c r="G27" s="4"/>
      <c r="I27" s="4">
        <f>28095.9</f>
        <v>28095.9</v>
      </c>
      <c r="J27" s="4"/>
      <c r="K27" s="4">
        <f>12073.66</f>
        <v>12073.66</v>
      </c>
      <c r="L27" s="4"/>
      <c r="M27" s="4">
        <f t="shared" si="2"/>
        <v>-16022.240000000002</v>
      </c>
      <c r="O27" s="4">
        <f>10875.84</f>
        <v>10875.84</v>
      </c>
      <c r="Q27" s="4">
        <f t="shared" si="3"/>
        <v>-17220.06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3410.18</f>
        <v>3410.18</v>
      </c>
      <c r="L28" s="4"/>
      <c r="M28" s="4">
        <f t="shared" si="2"/>
        <v>1942.4099999999999</v>
      </c>
      <c r="O28" s="4">
        <f>3321.42</f>
        <v>3321.42</v>
      </c>
      <c r="Q28" s="4">
        <f t="shared" si="3"/>
        <v>1853.65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31276.38</f>
        <v>31276.38</v>
      </c>
      <c r="L29" s="4"/>
      <c r="M29" s="4">
        <f t="shared" si="2"/>
        <v>14136.43</v>
      </c>
      <c r="O29" s="4">
        <f>29193.38</f>
        <v>29193.38</v>
      </c>
      <c r="Q29" s="4">
        <f t="shared" si="3"/>
        <v>12053.43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19300.41</f>
        <v>19300.41</v>
      </c>
      <c r="L30" s="4"/>
      <c r="M30" s="4">
        <f>SUM(K30-I30)</f>
        <v>4162.6</v>
      </c>
      <c r="O30" s="4">
        <f>22177.14</f>
        <v>22177.14</v>
      </c>
      <c r="Q30" s="4">
        <f>SUM(O30-I30)</f>
        <v>7039.33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186491.43</v>
      </c>
      <c r="J34" s="5"/>
      <c r="K34" s="5">
        <f>SUM(K23:K32)</f>
        <v>192572.5</v>
      </c>
      <c r="L34" s="5"/>
      <c r="M34" s="5">
        <f>SUM(M23:M32)</f>
        <v>6081.069999999994</v>
      </c>
      <c r="N34" s="4"/>
      <c r="O34" s="5">
        <f>SUM(O23:O32)</f>
        <v>197308.91000000003</v>
      </c>
      <c r="Q34" s="5">
        <f>SUM(Q23:Q32)</f>
        <v>10817.479999999998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-475.42</v>
      </c>
      <c r="Q37" s="4">
        <f>SUM(O37-I37)</f>
        <v>-475.42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-475.42</v>
      </c>
      <c r="Q39" s="4">
        <f>SUM(O39-I39)</f>
        <v>-475.42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186491.43</v>
      </c>
      <c r="J41" s="55"/>
      <c r="K41" s="55">
        <f>K34+K39</f>
        <v>192072.5</v>
      </c>
      <c r="L41" s="55"/>
      <c r="M41" s="55">
        <f>M34+M39</f>
        <v>5581.069999999994</v>
      </c>
      <c r="N41" s="54"/>
      <c r="O41" s="55">
        <f>O34+O39</f>
        <v>196833.49000000002</v>
      </c>
      <c r="P41" s="54"/>
      <c r="Q41" s="55">
        <f>Q34+Q39</f>
        <v>10342.059999999998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91426.07</v>
      </c>
      <c r="J43" s="28"/>
      <c r="K43" s="28">
        <f>K19-K41</f>
        <v>97316.11000000004</v>
      </c>
      <c r="L43" s="28"/>
      <c r="M43" s="28">
        <f>SUM(M41+M19)</f>
        <v>-5890.040000000006</v>
      </c>
      <c r="N43" s="34"/>
      <c r="O43" s="28">
        <f>O19-O41</f>
        <v>83106.32999999999</v>
      </c>
      <c r="P43" s="34"/>
      <c r="Q43" s="28">
        <f>Q19+Q41</f>
        <v>8319.73999999999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42325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363836.32+40790.4+3300</f>
        <v>407926.72000000003</v>
      </c>
      <c r="J8" s="4"/>
      <c r="K8" s="4">
        <f>409595</f>
        <v>409595</v>
      </c>
      <c r="L8" s="4"/>
      <c r="M8" s="4">
        <f aca="true" t="shared" si="0" ref="M8:M14">SUM(I8-K8)</f>
        <v>-1668.2799999999697</v>
      </c>
      <c r="O8" s="4">
        <f>378246.26+33426.32+3479.73</f>
        <v>415152.31</v>
      </c>
      <c r="Q8" s="4">
        <f aca="true" t="shared" si="1" ref="Q8:Q14">SUM(I8-O8)</f>
        <v>-7225.589999999967</v>
      </c>
      <c r="S8" s="4"/>
      <c r="U8" s="65"/>
      <c r="X8" s="4"/>
    </row>
    <row r="9" spans="4:24" ht="12.75">
      <c r="D9" t="s">
        <v>2</v>
      </c>
      <c r="G9" s="4"/>
      <c r="I9" s="4">
        <f>-3235.98</f>
        <v>-3235.98</v>
      </c>
      <c r="J9" s="4"/>
      <c r="K9" s="4">
        <f>24096</f>
        <v>24096</v>
      </c>
      <c r="L9" s="4"/>
      <c r="M9" s="4">
        <f t="shared" si="0"/>
        <v>-27331.98</v>
      </c>
      <c r="O9" s="4">
        <f>165448.61-173967.95</f>
        <v>-8519.340000000026</v>
      </c>
      <c r="Q9" s="4">
        <f t="shared" si="1"/>
        <v>5283.360000000026</v>
      </c>
      <c r="S9" s="4"/>
      <c r="U9" s="65"/>
      <c r="X9" s="4"/>
    </row>
    <row r="10" spans="4:24" ht="12.75">
      <c r="D10" t="s">
        <v>3</v>
      </c>
      <c r="G10" s="4"/>
      <c r="I10" s="4">
        <f>73755.26</f>
        <v>73755.26</v>
      </c>
      <c r="J10" s="4"/>
      <c r="K10" s="4">
        <f>47131</f>
        <v>47131</v>
      </c>
      <c r="L10" s="4"/>
      <c r="M10" s="4">
        <f t="shared" si="0"/>
        <v>26624.259999999995</v>
      </c>
      <c r="O10" s="4">
        <f>53957.38</f>
        <v>53957.38</v>
      </c>
      <c r="Q10" s="4">
        <f t="shared" si="1"/>
        <v>19797.879999999997</v>
      </c>
      <c r="S10" s="4"/>
      <c r="U10" s="65"/>
      <c r="X10" s="4"/>
    </row>
    <row r="11" spans="4:24" ht="12.75">
      <c r="D11" t="s">
        <v>31</v>
      </c>
      <c r="G11" s="4"/>
      <c r="I11" s="4">
        <f>1006.17+7033.39</f>
        <v>8039.56</v>
      </c>
      <c r="J11" s="4"/>
      <c r="K11" s="4">
        <f>10198</f>
        <v>10198</v>
      </c>
      <c r="L11" s="4"/>
      <c r="M11" s="4">
        <f t="shared" si="0"/>
        <v>-2158.4399999999996</v>
      </c>
      <c r="O11" s="4">
        <f>274.85+9064.52</f>
        <v>9339.37</v>
      </c>
      <c r="Q11" s="4">
        <f t="shared" si="1"/>
        <v>-1299.8100000000004</v>
      </c>
      <c r="U11" s="65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6039</f>
        <v>6039</v>
      </c>
      <c r="L12" s="4"/>
      <c r="M12" s="4">
        <f t="shared" si="0"/>
        <v>-6000.2</v>
      </c>
      <c r="O12" s="4">
        <f>2745.53</f>
        <v>2745.53</v>
      </c>
      <c r="Q12" s="4">
        <f t="shared" si="1"/>
        <v>-2706.73</v>
      </c>
      <c r="S12" s="4"/>
      <c r="U12" s="65"/>
      <c r="X12" s="4"/>
    </row>
    <row r="13" spans="4:24" ht="12.75">
      <c r="D13" t="s">
        <v>29</v>
      </c>
      <c r="G13" s="4"/>
      <c r="I13" s="4">
        <f>819</f>
        <v>819</v>
      </c>
      <c r="J13" s="4"/>
      <c r="K13" s="4">
        <v>0</v>
      </c>
      <c r="L13" s="4"/>
      <c r="M13" s="4">
        <f t="shared" si="0"/>
        <v>819</v>
      </c>
      <c r="O13" s="4">
        <v>0</v>
      </c>
      <c r="Q13" s="4">
        <f t="shared" si="1"/>
        <v>819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487343.36000000004</v>
      </c>
      <c r="J16" s="5"/>
      <c r="K16" s="5">
        <f>SUM(K8:K14)</f>
        <v>497059</v>
      </c>
      <c r="L16" s="5"/>
      <c r="M16" s="5">
        <f>SUM(M8:M14)</f>
        <v>-9715.639999999974</v>
      </c>
      <c r="N16" s="5"/>
      <c r="O16" s="5">
        <f>SUM(O8:O14)</f>
        <v>472675.25</v>
      </c>
      <c r="Q16" s="5">
        <f>SUM(Q8:Q14)</f>
        <v>14668.110000000055</v>
      </c>
      <c r="U16" s="5"/>
      <c r="V16" s="4">
        <f>472675+173967.95+22679.78</f>
        <v>669322.73</v>
      </c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487343.36000000004</v>
      </c>
      <c r="J19" s="61"/>
      <c r="K19" s="61">
        <f>K16</f>
        <v>497059</v>
      </c>
      <c r="L19" s="61"/>
      <c r="M19" s="61">
        <f>M16</f>
        <v>-9715.639999999974</v>
      </c>
      <c r="O19" s="61">
        <f>O16</f>
        <v>472675.25</v>
      </c>
      <c r="Q19" s="62">
        <f>SUM(I19-O19)</f>
        <v>14668.110000000044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51633.48</f>
        <v>51633.48</v>
      </c>
      <c r="J23" s="4"/>
      <c r="K23" s="4">
        <f>50500</f>
        <v>50500</v>
      </c>
      <c r="L23" s="4"/>
      <c r="M23" s="4">
        <f aca="true" t="shared" si="2" ref="M23:M29">SUM(K23-I23)</f>
        <v>-1133.4800000000032</v>
      </c>
      <c r="O23" s="4">
        <f>50645</f>
        <v>50645</v>
      </c>
      <c r="Q23" s="4">
        <f aca="true" t="shared" si="3" ref="Q23:Q29">SUM(O23-I23)</f>
        <v>-988.4800000000032</v>
      </c>
      <c r="S23" s="4"/>
      <c r="U23" s="65"/>
      <c r="X23" s="4"/>
    </row>
    <row r="24" spans="3:24" ht="12.75">
      <c r="C24" t="s">
        <v>9</v>
      </c>
      <c r="G24" s="4"/>
      <c r="I24" s="4">
        <f>17002.39+124613.87+14346.2+15816.11</f>
        <v>171778.57</v>
      </c>
      <c r="J24" s="4"/>
      <c r="K24" s="4">
        <f>171950</f>
        <v>171950</v>
      </c>
      <c r="L24" s="4"/>
      <c r="M24" s="4">
        <f t="shared" si="2"/>
        <v>171.42999999999302</v>
      </c>
      <c r="O24" s="4">
        <f>20861.18+134035.69+18797.87</f>
        <v>173694.74</v>
      </c>
      <c r="Q24" s="4">
        <f t="shared" si="3"/>
        <v>1916.1699999999837</v>
      </c>
      <c r="S24" s="4"/>
      <c r="U24" s="65"/>
      <c r="X24" s="4"/>
    </row>
    <row r="25" spans="3:24" ht="12.75">
      <c r="C25" s="3" t="s">
        <v>12</v>
      </c>
      <c r="G25" s="4"/>
      <c r="I25" s="4">
        <v>39713.31</v>
      </c>
      <c r="J25" s="4"/>
      <c r="K25" s="4">
        <f>40671</f>
        <v>40671</v>
      </c>
      <c r="L25" s="4"/>
      <c r="M25" s="4">
        <f t="shared" si="2"/>
        <v>957.6900000000023</v>
      </c>
      <c r="O25" s="4">
        <f>49311.8</f>
        <v>49311.8</v>
      </c>
      <c r="Q25" s="4">
        <f t="shared" si="3"/>
        <v>9598.490000000005</v>
      </c>
      <c r="S25" s="4"/>
      <c r="U25" s="65"/>
      <c r="X25" s="4"/>
    </row>
    <row r="26" spans="3:24" ht="12.75">
      <c r="C26" t="s">
        <v>33</v>
      </c>
      <c r="G26" s="4"/>
      <c r="I26" s="4">
        <f>5383.44+13087.18+4203.35+7203.17</f>
        <v>29877.14</v>
      </c>
      <c r="J26" s="4" t="s">
        <v>18</v>
      </c>
      <c r="K26" s="4">
        <f>22914</f>
        <v>22914</v>
      </c>
      <c r="L26" s="4"/>
      <c r="M26" s="4">
        <f t="shared" si="2"/>
        <v>-6963.139999999999</v>
      </c>
      <c r="O26" s="4">
        <f>4434.79+5531.46+2970.65+11108.95</f>
        <v>24045.85</v>
      </c>
      <c r="Q26" s="4">
        <f t="shared" si="3"/>
        <v>-5831.290000000001</v>
      </c>
      <c r="S26" s="4"/>
      <c r="U26" s="65"/>
      <c r="X26" s="4"/>
    </row>
    <row r="27" spans="3:24" ht="12.75">
      <c r="C27" t="s">
        <v>10</v>
      </c>
      <c r="G27" s="4"/>
      <c r="I27" s="4">
        <f>53254.92</f>
        <v>53254.92</v>
      </c>
      <c r="J27" s="4"/>
      <c r="K27" s="4">
        <f>43659</f>
        <v>43659</v>
      </c>
      <c r="L27" s="4"/>
      <c r="M27" s="4">
        <f t="shared" si="2"/>
        <v>-9595.919999999998</v>
      </c>
      <c r="O27" s="4">
        <f>41337.59</f>
        <v>41337.59</v>
      </c>
      <c r="Q27" s="4">
        <f t="shared" si="3"/>
        <v>-11917.330000000002</v>
      </c>
      <c r="S27" s="4"/>
      <c r="U27" s="65"/>
      <c r="X27" s="4"/>
    </row>
    <row r="28" spans="3:24" ht="12.75">
      <c r="C28" t="s">
        <v>11</v>
      </c>
      <c r="G28" s="4"/>
      <c r="I28" s="4">
        <v>4102.02</v>
      </c>
      <c r="J28" s="4"/>
      <c r="K28" s="4">
        <f>6793</f>
        <v>6793</v>
      </c>
      <c r="L28" s="4"/>
      <c r="M28" s="4">
        <f t="shared" si="2"/>
        <v>2690.9799999999996</v>
      </c>
      <c r="O28" s="4">
        <f>6614.26</f>
        <v>6614.26</v>
      </c>
      <c r="Q28" s="4">
        <f t="shared" si="3"/>
        <v>2512.24</v>
      </c>
      <c r="S28" s="4"/>
      <c r="U28" s="65"/>
      <c r="X28" s="4"/>
    </row>
    <row r="29" spans="3:24" ht="12.75">
      <c r="C29" s="3" t="s">
        <v>40</v>
      </c>
      <c r="G29" s="4"/>
      <c r="I29" s="4">
        <v>77452.1</v>
      </c>
      <c r="J29" s="4"/>
      <c r="K29" s="4">
        <f>53303</f>
        <v>53303</v>
      </c>
      <c r="L29" s="4"/>
      <c r="M29" s="4">
        <f t="shared" si="2"/>
        <v>-24149.100000000006</v>
      </c>
      <c r="O29" s="4">
        <f>118629.8</f>
        <v>118629.8</v>
      </c>
      <c r="Q29" s="4">
        <f t="shared" si="3"/>
        <v>41177.7</v>
      </c>
      <c r="S29" s="4"/>
      <c r="U29" s="65"/>
      <c r="X29" s="4"/>
    </row>
    <row r="30" spans="3:24" ht="12.75">
      <c r="C30" s="47" t="s">
        <v>41</v>
      </c>
      <c r="G30" s="4"/>
      <c r="I30" s="4">
        <v>30124.92</v>
      </c>
      <c r="J30" s="4"/>
      <c r="K30" s="4">
        <f>44497</f>
        <v>44497</v>
      </c>
      <c r="L30" s="4"/>
      <c r="M30" s="4">
        <f>SUM(K30-I30)</f>
        <v>14372.080000000002</v>
      </c>
      <c r="O30" s="4">
        <f>51537.12</f>
        <v>51537.12</v>
      </c>
      <c r="Q30" s="4">
        <f>SUM(O30-I30)</f>
        <v>21412.200000000004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457936.87</v>
      </c>
      <c r="J34" s="5"/>
      <c r="K34" s="5">
        <f>SUM(K23:K32)</f>
        <v>434287</v>
      </c>
      <c r="L34" s="5"/>
      <c r="M34" s="5">
        <f>SUM(M23:M32)</f>
        <v>-23649.870000000006</v>
      </c>
      <c r="N34" s="4"/>
      <c r="O34" s="5">
        <f>SUM(O23:O32)</f>
        <v>515816.16</v>
      </c>
      <c r="Q34" s="5">
        <f>SUM(Q23:Q32)</f>
        <v>57879.28999999998</v>
      </c>
      <c r="R34" s="4" t="s">
        <v>18</v>
      </c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U35" s="65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f>35904.25</f>
        <v>35904.25</v>
      </c>
      <c r="J37" s="4"/>
      <c r="K37" s="4">
        <f>33911</f>
        <v>33911</v>
      </c>
      <c r="L37" s="4"/>
      <c r="M37" s="4">
        <f>SUM(K37-I37)</f>
        <v>-1993.25</v>
      </c>
      <c r="O37" s="4">
        <f>32243.53</f>
        <v>32243.53</v>
      </c>
      <c r="Q37" s="4">
        <f>SUM(O37-I37)</f>
        <v>-3660.720000000001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U38" s="65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35904.25</v>
      </c>
      <c r="J39" s="10"/>
      <c r="K39" s="10">
        <f>SUM(K37:K37)</f>
        <v>33911</v>
      </c>
      <c r="L39" s="10"/>
      <c r="M39" s="4">
        <f>SUM(K39-I39)</f>
        <v>-1993.25</v>
      </c>
      <c r="N39" s="10"/>
      <c r="O39" s="10">
        <f>SUM(O37:O37)</f>
        <v>32243.53</v>
      </c>
      <c r="Q39" s="4">
        <f>SUM(O39-I39)</f>
        <v>-3660.720000000001</v>
      </c>
      <c r="T39" s="9"/>
      <c r="U39" s="10"/>
      <c r="V39" s="10">
        <f>548060+173967.95+19432.9</f>
        <v>741460.85</v>
      </c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493841.12</v>
      </c>
      <c r="J41" s="61"/>
      <c r="K41" s="61">
        <f>K34+K39</f>
        <v>468198</v>
      </c>
      <c r="L41" s="61"/>
      <c r="M41" s="61">
        <f>M34+M39</f>
        <v>-25643.120000000006</v>
      </c>
      <c r="O41" s="61">
        <f>O34+O39</f>
        <v>548059.69</v>
      </c>
      <c r="Q41" s="61">
        <f>Q34+Q39</f>
        <v>54218.56999999998</v>
      </c>
      <c r="R41" s="64" t="s">
        <v>18</v>
      </c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-6497.759999999951</v>
      </c>
      <c r="J43" s="62"/>
      <c r="K43" s="62">
        <f>K19-K41</f>
        <v>28861</v>
      </c>
      <c r="L43" s="62"/>
      <c r="M43" s="62">
        <f>SUM(M41+M19)</f>
        <v>-35358.75999999998</v>
      </c>
      <c r="O43" s="62">
        <f>O19-O41</f>
        <v>-75384.43999999994</v>
      </c>
      <c r="Q43" s="62">
        <f>Q19+Q41</f>
        <v>68886.68000000002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42537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52</v>
      </c>
      <c r="J5" s="23"/>
      <c r="K5" s="23" t="s">
        <v>53</v>
      </c>
      <c r="L5" s="23"/>
      <c r="M5" s="26" t="s">
        <v>27</v>
      </c>
      <c r="O5" s="23" t="s">
        <v>52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1030803.11+294872.15+7325</f>
        <v>1333000.26</v>
      </c>
      <c r="J8" s="4"/>
      <c r="K8" s="4">
        <f>1025154.24+267796.06+11442.81</f>
        <v>1304393.11</v>
      </c>
      <c r="L8" s="4"/>
      <c r="M8" s="4">
        <f aca="true" t="shared" si="0" ref="M8:M14">SUM(I8-K8)</f>
        <v>28607.149999999907</v>
      </c>
      <c r="O8" s="4">
        <f>1044308.09+258062.67+10569.45</f>
        <v>1312940.21</v>
      </c>
      <c r="Q8" s="4">
        <f aca="true" t="shared" si="1" ref="Q8:Q14">SUM(I8-O8)</f>
        <v>20060.050000000047</v>
      </c>
      <c r="S8" s="4"/>
      <c r="U8" s="65"/>
      <c r="X8" s="4"/>
    </row>
    <row r="9" spans="4:24" ht="12.75">
      <c r="D9" t="s">
        <v>2</v>
      </c>
      <c r="G9" s="4"/>
      <c r="I9" s="4">
        <v>32090.06</v>
      </c>
      <c r="J9" s="4"/>
      <c r="K9" s="4">
        <f>555795.76-537706.4</f>
        <v>18089.359999999986</v>
      </c>
      <c r="L9" s="4"/>
      <c r="M9" s="4">
        <f t="shared" si="0"/>
        <v>14000.700000000015</v>
      </c>
      <c r="O9" s="4">
        <f>470876.96-491488.79</f>
        <v>-20611.829999999958</v>
      </c>
      <c r="Q9" s="4">
        <f t="shared" si="1"/>
        <v>52701.889999999956</v>
      </c>
      <c r="S9" s="4"/>
      <c r="U9" s="65"/>
      <c r="X9" s="4"/>
    </row>
    <row r="10" spans="4:24" ht="12.75">
      <c r="D10" t="s">
        <v>3</v>
      </c>
      <c r="G10" s="4"/>
      <c r="I10" s="4">
        <v>103771.15</v>
      </c>
      <c r="J10" s="4"/>
      <c r="K10" s="4">
        <v>88061.89</v>
      </c>
      <c r="L10" s="4"/>
      <c r="M10" s="4">
        <f t="shared" si="0"/>
        <v>15709.259999999995</v>
      </c>
      <c r="O10" s="4">
        <v>94039.45</v>
      </c>
      <c r="Q10" s="4">
        <f t="shared" si="1"/>
        <v>9731.699999999997</v>
      </c>
      <c r="S10" s="4"/>
      <c r="U10" s="65"/>
      <c r="X10" s="4"/>
    </row>
    <row r="11" spans="4:24" ht="12.75">
      <c r="D11" t="s">
        <v>31</v>
      </c>
      <c r="G11" s="4"/>
      <c r="I11" s="4">
        <f>2805.07+27367.55</f>
        <v>30172.62</v>
      </c>
      <c r="J11" s="4"/>
      <c r="K11" s="4">
        <f>1554.48+25681.72</f>
        <v>27236.2</v>
      </c>
      <c r="L11" s="4"/>
      <c r="M11" s="4">
        <f t="shared" si="0"/>
        <v>2936.4199999999983</v>
      </c>
      <c r="O11" s="4">
        <f>736.86+24533.71</f>
        <v>25270.57</v>
      </c>
      <c r="Q11" s="4">
        <f t="shared" si="1"/>
        <v>4902.049999999999</v>
      </c>
      <c r="S11" s="4"/>
      <c r="U11" s="65"/>
      <c r="X11" s="4"/>
    </row>
    <row r="12" spans="4:24" ht="12.75">
      <c r="D12" t="s">
        <v>30</v>
      </c>
      <c r="G12" s="4"/>
      <c r="I12" s="4">
        <v>4349.52</v>
      </c>
      <c r="J12" s="4"/>
      <c r="K12" s="4">
        <v>18425.57</v>
      </c>
      <c r="L12" s="4"/>
      <c r="M12" s="4">
        <f t="shared" si="0"/>
        <v>-14076.05</v>
      </c>
      <c r="O12" s="4">
        <v>8488.82</v>
      </c>
      <c r="Q12" s="4">
        <f t="shared" si="1"/>
        <v>-4139.299999999999</v>
      </c>
      <c r="S12" s="4"/>
      <c r="U12" s="65"/>
      <c r="X12" s="4"/>
    </row>
    <row r="13" spans="4:24" ht="12.75">
      <c r="D13" t="s">
        <v>29</v>
      </c>
      <c r="G13" s="4"/>
      <c r="I13" s="4">
        <v>1858.6</v>
      </c>
      <c r="J13" s="4"/>
      <c r="K13" s="4">
        <v>0</v>
      </c>
      <c r="L13" s="4"/>
      <c r="M13" s="4">
        <f t="shared" si="0"/>
        <v>1858.6</v>
      </c>
      <c r="O13" s="4">
        <v>0</v>
      </c>
      <c r="Q13" s="4">
        <f t="shared" si="1"/>
        <v>1858.6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1505242.2100000002</v>
      </c>
      <c r="J16" s="5"/>
      <c r="K16" s="5">
        <f>SUM(K8:K14)</f>
        <v>1456206.1300000001</v>
      </c>
      <c r="L16" s="5"/>
      <c r="M16" s="5">
        <f>SUM(M8:M14)</f>
        <v>49036.07999999991</v>
      </c>
      <c r="N16" s="5"/>
      <c r="O16" s="5">
        <f>SUM(O8:O14)</f>
        <v>1420127.22</v>
      </c>
      <c r="Q16" s="5">
        <f>SUM(Q8:Q14)</f>
        <v>85114.99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1505242.2100000002</v>
      </c>
      <c r="J19" s="61"/>
      <c r="K19" s="61">
        <f>K16</f>
        <v>1456206.1300000001</v>
      </c>
      <c r="L19" s="61"/>
      <c r="M19" s="61">
        <f>M16</f>
        <v>49036.07999999991</v>
      </c>
      <c r="O19" s="61">
        <f>O16</f>
        <v>1420127.22</v>
      </c>
      <c r="Q19" s="62">
        <f>SUM(I19-O19)</f>
        <v>85114.99000000022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141992.07</v>
      </c>
      <c r="J23" s="4"/>
      <c r="K23" s="4">
        <v>138875</v>
      </c>
      <c r="L23" s="4"/>
      <c r="M23" s="4">
        <f aca="true" t="shared" si="2" ref="M23:M29">SUM(K23-I23)</f>
        <v>-3117.070000000007</v>
      </c>
      <c r="O23" s="4">
        <v>139273.75</v>
      </c>
      <c r="Q23" s="4">
        <f aca="true" t="shared" si="3" ref="Q23:Q29">SUM(O23-I23)</f>
        <v>-2718.320000000007</v>
      </c>
      <c r="S23" s="4"/>
      <c r="U23" s="65"/>
      <c r="X23" s="4"/>
    </row>
    <row r="24" spans="3:24" ht="12.75">
      <c r="C24" t="s">
        <v>9</v>
      </c>
      <c r="G24" s="4"/>
      <c r="I24" s="4">
        <f>55590.04+413531.6+39452.41+55815.93</f>
        <v>564389.98</v>
      </c>
      <c r="J24" s="4"/>
      <c r="K24" s="4">
        <f>58885.27+343375.75+36809.71+51689.25</f>
        <v>490759.98000000004</v>
      </c>
      <c r="L24" s="4"/>
      <c r="M24" s="4">
        <f t="shared" si="2"/>
        <v>-73629.99999999994</v>
      </c>
      <c r="O24" s="4">
        <f>62471.96+385297.89+36933.44+52721.3</f>
        <v>537424.5900000001</v>
      </c>
      <c r="Q24" s="4">
        <f t="shared" si="3"/>
        <v>-26965.389999999898</v>
      </c>
      <c r="S24" s="4"/>
      <c r="U24" s="65"/>
      <c r="X24" s="4"/>
    </row>
    <row r="25" spans="3:24" ht="12.75">
      <c r="C25" s="3" t="s">
        <v>12</v>
      </c>
      <c r="G25" s="4"/>
      <c r="I25" s="4">
        <v>129768.8</v>
      </c>
      <c r="J25" s="4"/>
      <c r="K25" s="4">
        <v>119306.71</v>
      </c>
      <c r="L25" s="4"/>
      <c r="M25" s="4">
        <f t="shared" si="2"/>
        <v>-10462.089999999997</v>
      </c>
      <c r="O25" s="4">
        <v>145991.26</v>
      </c>
      <c r="Q25" s="4">
        <f t="shared" si="3"/>
        <v>16222.460000000006</v>
      </c>
      <c r="S25" s="4"/>
      <c r="U25" s="65"/>
      <c r="X25" s="4"/>
    </row>
    <row r="26" spans="3:24" ht="12.75">
      <c r="C26" t="s">
        <v>33</v>
      </c>
      <c r="G26" s="4"/>
      <c r="I26" s="4">
        <f>17842.28+27346.79+10559.11+21818.65</f>
        <v>77566.83</v>
      </c>
      <c r="J26" s="4" t="s">
        <v>18</v>
      </c>
      <c r="K26" s="4">
        <f>25299.62+26734.18+8553.24+29765.63</f>
        <v>90352.67</v>
      </c>
      <c r="L26" s="4"/>
      <c r="M26" s="4">
        <f t="shared" si="2"/>
        <v>12785.839999999997</v>
      </c>
      <c r="O26" s="4">
        <f>17918.02+28589.21+9523.81+32200.67</f>
        <v>88231.70999999999</v>
      </c>
      <c r="Q26" s="4">
        <f t="shared" si="3"/>
        <v>10664.87999999999</v>
      </c>
      <c r="S26" s="4"/>
      <c r="U26" s="65"/>
      <c r="X26" s="4"/>
    </row>
    <row r="27" spans="3:24" ht="12.75">
      <c r="C27" t="s">
        <v>10</v>
      </c>
      <c r="G27" s="4"/>
      <c r="I27" s="4">
        <v>98364.08</v>
      </c>
      <c r="J27" s="4"/>
      <c r="K27" s="4">
        <v>79914.13</v>
      </c>
      <c r="L27" s="4"/>
      <c r="M27" s="4">
        <f t="shared" si="2"/>
        <v>-18449.949999999997</v>
      </c>
      <c r="O27" s="4">
        <v>88325.49</v>
      </c>
      <c r="Q27" s="4">
        <f t="shared" si="3"/>
        <v>-10038.589999999997</v>
      </c>
      <c r="S27" s="4"/>
      <c r="U27" s="65"/>
      <c r="X27" s="4"/>
    </row>
    <row r="28" spans="3:24" ht="12.75">
      <c r="C28" t="s">
        <v>11</v>
      </c>
      <c r="G28" s="4"/>
      <c r="I28" s="4">
        <v>17871.11</v>
      </c>
      <c r="J28" s="4"/>
      <c r="K28" s="4">
        <v>20392.69</v>
      </c>
      <c r="L28" s="4"/>
      <c r="M28" s="4">
        <f t="shared" si="2"/>
        <v>2521.579999999998</v>
      </c>
      <c r="O28" s="4">
        <v>19991.22</v>
      </c>
      <c r="Q28" s="4">
        <f t="shared" si="3"/>
        <v>2120.1100000000006</v>
      </c>
      <c r="S28" s="4"/>
      <c r="U28" s="65"/>
      <c r="X28" s="4"/>
    </row>
    <row r="29" spans="3:24" ht="12.75">
      <c r="C29" s="3" t="s">
        <v>40</v>
      </c>
      <c r="G29" s="4"/>
      <c r="I29" s="4">
        <v>166898.77</v>
      </c>
      <c r="J29" s="4"/>
      <c r="K29" s="4">
        <v>134744.95</v>
      </c>
      <c r="L29" s="4"/>
      <c r="M29" s="4">
        <f t="shared" si="2"/>
        <v>-32153.819999999978</v>
      </c>
      <c r="O29" s="4">
        <v>215875.16</v>
      </c>
      <c r="Q29" s="4">
        <f t="shared" si="3"/>
        <v>48976.390000000014</v>
      </c>
      <c r="S29" s="4"/>
      <c r="U29" s="65"/>
      <c r="X29" s="4"/>
    </row>
    <row r="30" spans="3:24" ht="12.75">
      <c r="C30" s="47" t="s">
        <v>41</v>
      </c>
      <c r="G30" s="4"/>
      <c r="I30" s="4">
        <v>75258.79</v>
      </c>
      <c r="J30" s="4"/>
      <c r="K30" s="4">
        <v>105281.98</v>
      </c>
      <c r="L30" s="4"/>
      <c r="M30" s="4">
        <f>SUM(K30-I30)</f>
        <v>30023.190000000002</v>
      </c>
      <c r="O30" s="4">
        <v>120979.17</v>
      </c>
      <c r="Q30" s="4">
        <f>SUM(O30-I30)</f>
        <v>45720.380000000005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96583</v>
      </c>
      <c r="L32" s="39"/>
      <c r="M32" s="4">
        <f>SUM(K32-I32)</f>
        <v>96583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1272110.8399999999</v>
      </c>
      <c r="J34" s="5"/>
      <c r="K34" s="5">
        <f>SUM(K23:K32)</f>
        <v>1276211.1099999999</v>
      </c>
      <c r="L34" s="5"/>
      <c r="M34" s="5">
        <f>SUM(M23:M32)</f>
        <v>4100.270000000077</v>
      </c>
      <c r="N34" s="4"/>
      <c r="O34" s="5">
        <f>SUM(O23:O32)</f>
        <v>1356092.3499999999</v>
      </c>
      <c r="Q34" s="5">
        <f>SUM(Q23:Q32)</f>
        <v>83981.51000000011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133136</v>
      </c>
      <c r="J37" s="4"/>
      <c r="K37" s="4">
        <v>151043</v>
      </c>
      <c r="L37" s="4"/>
      <c r="M37" s="4">
        <f>SUM(K37-I37)</f>
        <v>17907</v>
      </c>
      <c r="O37" s="4">
        <v>143617</v>
      </c>
      <c r="Q37" s="4">
        <f>SUM(O37-I37)</f>
        <v>10481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v>133136</v>
      </c>
      <c r="J39" s="10"/>
      <c r="K39" s="10">
        <v>151043</v>
      </c>
      <c r="L39" s="10"/>
      <c r="M39" s="4">
        <f>SUM(K39-I39)</f>
        <v>17907</v>
      </c>
      <c r="N39" s="10"/>
      <c r="O39" s="10">
        <f>SUM(O37:O37)</f>
        <v>143617</v>
      </c>
      <c r="Q39" s="4">
        <f>SUM(O39-I39)</f>
        <v>10481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1405246.8399999999</v>
      </c>
      <c r="J41" s="61"/>
      <c r="K41" s="61">
        <f>K34+K39</f>
        <v>1427254.1099999999</v>
      </c>
      <c r="L41" s="61"/>
      <c r="M41" s="61">
        <f>M34+M39</f>
        <v>22007.270000000077</v>
      </c>
      <c r="O41" s="61">
        <f>O34+O39</f>
        <v>1499709.3499999999</v>
      </c>
      <c r="Q41" s="61">
        <f>Q34+Q39</f>
        <v>94462.51000000011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99995.37000000034</v>
      </c>
      <c r="J43" s="62"/>
      <c r="K43" s="62">
        <f>K19-K41</f>
        <v>28952.02000000025</v>
      </c>
      <c r="L43" s="62"/>
      <c r="M43" s="62">
        <f>SUM(M41+M19)</f>
        <v>71043.34999999998</v>
      </c>
      <c r="O43" s="62">
        <f>O19-O41</f>
        <v>-79582.12999999989</v>
      </c>
      <c r="Q43" s="62">
        <f>Q19+Q41</f>
        <v>179577.50000000035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JGP Sales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 Petro</dc:creator>
  <cp:keywords/>
  <dc:description/>
  <cp:lastModifiedBy>Cheryl Ryan</cp:lastModifiedBy>
  <cp:lastPrinted>2023-01-17T16:23:23Z</cp:lastPrinted>
  <dcterms:created xsi:type="dcterms:W3CDTF">2007-09-18T18:03:12Z</dcterms:created>
  <dcterms:modified xsi:type="dcterms:W3CDTF">2023-01-30T15:11:09Z</dcterms:modified>
  <cp:category/>
  <cp:version/>
  <cp:contentType/>
  <cp:contentStatus/>
</cp:coreProperties>
</file>