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5150" windowHeight="9210" tabRatio="597" firstSheet="12" activeTab="15"/>
  </bookViews>
  <sheets>
    <sheet name="3312014" sheetId="1" r:id="rId1"/>
    <sheet name="8312014" sheetId="2" r:id="rId2"/>
    <sheet name="12312014" sheetId="3" r:id="rId3"/>
    <sheet name="2282015" sheetId="4" r:id="rId4"/>
    <sheet name="3312015" sheetId="5" r:id="rId5"/>
    <sheet name="6302015" sheetId="6" r:id="rId6"/>
    <sheet name="8312015" sheetId="7" r:id="rId7"/>
    <sheet name="10312015" sheetId="8" r:id="rId8"/>
    <sheet name="05312016" sheetId="9" r:id="rId9"/>
    <sheet name="06302016" sheetId="10" r:id="rId10"/>
    <sheet name="12312016" sheetId="11" r:id="rId11"/>
    <sheet name="01312017" sheetId="12" r:id="rId12"/>
    <sheet name="08312017" sheetId="13" r:id="rId13"/>
    <sheet name="12312017" sheetId="14" r:id="rId14"/>
    <sheet name="10312018" sheetId="15" r:id="rId15"/>
    <sheet name="12312018" sheetId="16" r:id="rId16"/>
  </sheets>
  <definedNames/>
  <calcPr fullCalcOnLoad="1"/>
</workbook>
</file>

<file path=xl/sharedStrings.xml><?xml version="1.0" encoding="utf-8"?>
<sst xmlns="http://schemas.openxmlformats.org/spreadsheetml/2006/main" count="1044" uniqueCount="79">
  <si>
    <t>St. Maria Goretti Parish</t>
  </si>
  <si>
    <t>Collections (for Parish use)</t>
  </si>
  <si>
    <t>Socials, Donations, Fees</t>
  </si>
  <si>
    <t>Religious Education Programs</t>
  </si>
  <si>
    <t>Total Ordinary Income</t>
  </si>
  <si>
    <t xml:space="preserve">      Financial Activity Report</t>
  </si>
  <si>
    <t>Church and related</t>
  </si>
  <si>
    <t>Actual</t>
  </si>
  <si>
    <t>Budget</t>
  </si>
  <si>
    <t xml:space="preserve">   Administration </t>
  </si>
  <si>
    <t xml:space="preserve">   Religious Education</t>
  </si>
  <si>
    <t xml:space="preserve">   Operating expense and other</t>
  </si>
  <si>
    <r>
      <t xml:space="preserve">   </t>
    </r>
    <r>
      <rPr>
        <sz val="10"/>
        <rFont val="Arial"/>
        <family val="2"/>
      </rPr>
      <t>Payroll taxes and benefits</t>
    </r>
  </si>
  <si>
    <t>____________________________________________________________________</t>
  </si>
  <si>
    <t xml:space="preserve">___________________________________________________________  </t>
  </si>
  <si>
    <t xml:space="preserve">   Total Church and related expense</t>
  </si>
  <si>
    <t xml:space="preserve">Total School &amp; related expense </t>
  </si>
  <si>
    <t xml:space="preserve">   Loan payments</t>
  </si>
  <si>
    <t xml:space="preserve"> </t>
  </si>
  <si>
    <t>Church Income</t>
  </si>
  <si>
    <t>Revenue</t>
  </si>
  <si>
    <t>Expense</t>
  </si>
  <si>
    <t>NET OPERATING GAIN/(LOSS)</t>
  </si>
  <si>
    <t>Prior</t>
  </si>
  <si>
    <t xml:space="preserve"> Budget Deviation</t>
  </si>
  <si>
    <t xml:space="preserve">   Additions to Church</t>
  </si>
  <si>
    <t>HOF-VOH Transfers</t>
  </si>
  <si>
    <t>Current Yr.  Deviation</t>
  </si>
  <si>
    <t xml:space="preserve">   Subsidy Payments</t>
  </si>
  <si>
    <t>Other Receipts</t>
  </si>
  <si>
    <t>Other Church Income</t>
  </si>
  <si>
    <t>Rent &amp; Interest</t>
  </si>
  <si>
    <t xml:space="preserve">   Diocesan Assessments</t>
  </si>
  <si>
    <t xml:space="preserve">   Professional Services, Supplies, etc.</t>
  </si>
  <si>
    <t>Total Revenue</t>
  </si>
  <si>
    <t>School Subsidy/Assistance</t>
  </si>
  <si>
    <t>Total Church &amp; Subsidy Expenses</t>
  </si>
  <si>
    <t>.</t>
  </si>
  <si>
    <t>7/1/2014-8/31/2014</t>
  </si>
  <si>
    <t>7/1/2013-8/31/2013</t>
  </si>
  <si>
    <r>
      <t xml:space="preserve"> </t>
    </r>
    <r>
      <rPr>
        <sz val="10"/>
        <rFont val="Arial"/>
        <family val="2"/>
      </rPr>
      <t xml:space="preserve">  Maintenance</t>
    </r>
  </si>
  <si>
    <t xml:space="preserve">   Utilities </t>
  </si>
  <si>
    <t>7/1/2014-10/31/2014</t>
  </si>
  <si>
    <t>7/1/2013-10/31/2013</t>
  </si>
  <si>
    <t>7/1/2014-2/28/2015</t>
  </si>
  <si>
    <t>7/1/2013-2/28/2014</t>
  </si>
  <si>
    <t>7/1/2014-3/31/2015</t>
  </si>
  <si>
    <t>7/1/2013-3/31/2014</t>
  </si>
  <si>
    <t>7/1/2014-6/30/2015</t>
  </si>
  <si>
    <t>7/1/2013-6/30/2014</t>
  </si>
  <si>
    <t>7/1/2015-8/31/2015</t>
  </si>
  <si>
    <t>7/1/2015-10/31/2015</t>
  </si>
  <si>
    <t>7/1/2015-05/31/2016</t>
  </si>
  <si>
    <t>7/1/2014-05/31/2015</t>
  </si>
  <si>
    <t>7/1/2016-08/31/2016</t>
  </si>
  <si>
    <t>7/1/2015-08/31/2015</t>
  </si>
  <si>
    <t xml:space="preserve">      Financial Performance Report</t>
  </si>
  <si>
    <t>7/1/2016-12/31/2016</t>
  </si>
  <si>
    <t>7/1/2015-12/31/2015</t>
  </si>
  <si>
    <t>7/1/2016-01/31/2017</t>
  </si>
  <si>
    <t>7/1/2015-01/31/2016</t>
  </si>
  <si>
    <t>7/1/2017-08/31/2017</t>
  </si>
  <si>
    <t>Additions to Church and School</t>
  </si>
  <si>
    <t>Additions to School and Parish Center (School Renovations/MDCC)</t>
  </si>
  <si>
    <t>7/1/2017-12/31/2017</t>
  </si>
  <si>
    <t>Additions to Church &amp; Rectory (Church Roof, Parish Truck,</t>
  </si>
  <si>
    <t>Church Lighting)</t>
  </si>
  <si>
    <t>Proposed Capital Projects, Estimated Costs, Not Included In Operating Budget</t>
  </si>
  <si>
    <t>Church Roof Replacement</t>
  </si>
  <si>
    <t>Parish Center Boiler Replacement</t>
  </si>
  <si>
    <t>Church &amp; Parking Lot LED</t>
  </si>
  <si>
    <t>Education Center, Mater Dei Renovations</t>
  </si>
  <si>
    <t>Parish Truck</t>
  </si>
  <si>
    <t>HOF-VOH Withdrawals</t>
  </si>
  <si>
    <t>Miscellaneous Notes</t>
  </si>
  <si>
    <t>7/1/2018-10/31/2018</t>
  </si>
  <si>
    <t>7/1/2017-10/31/2018</t>
  </si>
  <si>
    <t>7/1/2018-12/31/2018</t>
  </si>
  <si>
    <t>Not Including Capex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</si>
</sst>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mm/dd/yy"/>
    <numFmt numFmtId="167" formatCode="&quot;$&quot;#,##0.00"/>
    <numFmt numFmtId="168" formatCode="&quot;$&quot;#,##0.0"/>
    <numFmt numFmtId="169" formatCode="0.0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</numFmts>
  <fonts count="54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 val="single"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7" fillId="34" borderId="0" xfId="0" applyFont="1" applyFill="1" applyAlignment="1">
      <alignment/>
    </xf>
    <xf numFmtId="0" fontId="0" fillId="34" borderId="0" xfId="0" applyFill="1" applyAlignment="1">
      <alignment/>
    </xf>
    <xf numFmtId="0" fontId="3" fillId="34" borderId="0" xfId="0" applyFont="1" applyFill="1" applyAlignment="1">
      <alignment/>
    </xf>
    <xf numFmtId="164" fontId="7" fillId="34" borderId="0" xfId="0" applyNumberFormat="1" applyFont="1" applyFill="1" applyAlignment="1">
      <alignment/>
    </xf>
    <xf numFmtId="166" fontId="3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wrapText="1"/>
    </xf>
    <xf numFmtId="0" fontId="0" fillId="0" borderId="10" xfId="0" applyBorder="1" applyAlignment="1">
      <alignment/>
    </xf>
    <xf numFmtId="164" fontId="3" fillId="35" borderId="0" xfId="0" applyNumberFormat="1" applyFont="1" applyFill="1" applyAlignment="1">
      <alignment/>
    </xf>
    <xf numFmtId="0" fontId="0" fillId="0" borderId="0" xfId="0" applyFont="1" applyAlignment="1">
      <alignment/>
    </xf>
    <xf numFmtId="164" fontId="7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67" fontId="0" fillId="0" borderId="0" xfId="0" applyNumberFormat="1" applyFill="1" applyAlignment="1">
      <alignment/>
    </xf>
    <xf numFmtId="164" fontId="3" fillId="34" borderId="0" xfId="0" applyNumberFormat="1" applyFont="1" applyFill="1" applyAlignment="1">
      <alignment/>
    </xf>
    <xf numFmtId="0" fontId="0" fillId="35" borderId="0" xfId="0" applyFill="1" applyAlignment="1">
      <alignment/>
    </xf>
    <xf numFmtId="0" fontId="0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3" fillId="36" borderId="0" xfId="0" applyFont="1" applyFill="1" applyAlignment="1">
      <alignment/>
    </xf>
    <xf numFmtId="0" fontId="3" fillId="0" borderId="11" xfId="0" applyFont="1" applyBorder="1" applyAlignment="1">
      <alignment/>
    </xf>
    <xf numFmtId="164" fontId="9" fillId="13" borderId="0" xfId="0" applyNumberFormat="1" applyFont="1" applyFill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0" fontId="51" fillId="19" borderId="0" xfId="0" applyFont="1" applyFill="1" applyAlignment="1">
      <alignment/>
    </xf>
    <xf numFmtId="0" fontId="52" fillId="19" borderId="0" xfId="0" applyFont="1" applyFill="1" applyAlignment="1">
      <alignment/>
    </xf>
    <xf numFmtId="0" fontId="0" fillId="19" borderId="0" xfId="0" applyFill="1" applyAlignment="1">
      <alignment/>
    </xf>
    <xf numFmtId="164" fontId="7" fillId="19" borderId="0" xfId="0" applyNumberFormat="1" applyFont="1" applyFill="1" applyAlignment="1">
      <alignment/>
    </xf>
    <xf numFmtId="164" fontId="3" fillId="19" borderId="0" xfId="0" applyNumberFormat="1" applyFont="1" applyFill="1" applyAlignment="1">
      <alignment/>
    </xf>
    <xf numFmtId="0" fontId="3" fillId="19" borderId="0" xfId="0" applyFont="1" applyFill="1" applyAlignment="1">
      <alignment/>
    </xf>
    <xf numFmtId="0" fontId="0" fillId="37" borderId="0" xfId="0" applyFill="1" applyAlignment="1">
      <alignment/>
    </xf>
    <xf numFmtId="0" fontId="51" fillId="37" borderId="0" xfId="0" applyFont="1" applyFill="1" applyAlignment="1">
      <alignment/>
    </xf>
    <xf numFmtId="0" fontId="52" fillId="37" borderId="0" xfId="0" applyFont="1" applyFill="1" applyAlignment="1">
      <alignment/>
    </xf>
    <xf numFmtId="164" fontId="7" fillId="37" borderId="0" xfId="0" applyNumberFormat="1" applyFont="1" applyFill="1" applyAlignment="1">
      <alignment/>
    </xf>
    <xf numFmtId="164" fontId="3" fillId="37" borderId="0" xfId="0" applyNumberFormat="1" applyFont="1" applyFill="1" applyAlignment="1">
      <alignment/>
    </xf>
    <xf numFmtId="0" fontId="3" fillId="37" borderId="0" xfId="0" applyFont="1" applyFill="1" applyAlignment="1">
      <alignment/>
    </xf>
    <xf numFmtId="164" fontId="0" fillId="37" borderId="0" xfId="0" applyNumberFormat="1" applyFill="1" applyAlignment="1">
      <alignment/>
    </xf>
    <xf numFmtId="171" fontId="0" fillId="0" borderId="0" xfId="44" applyNumberFormat="1" applyFont="1" applyAlignment="1">
      <alignment/>
    </xf>
    <xf numFmtId="171" fontId="0" fillId="0" borderId="0" xfId="44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53" fillId="0" borderId="0" xfId="0" applyFont="1" applyFill="1" applyAlignment="1">
      <alignment/>
    </xf>
    <xf numFmtId="4" fontId="52" fillId="0" borderId="0" xfId="0" applyNumberFormat="1" applyFont="1" applyFill="1" applyAlignment="1">
      <alignment horizontal="right"/>
    </xf>
    <xf numFmtId="4" fontId="52" fillId="0" borderId="0" xfId="0" applyNumberFormat="1" applyFont="1" applyFill="1" applyAlignment="1">
      <alignment/>
    </xf>
    <xf numFmtId="4" fontId="52" fillId="0" borderId="0" xfId="0" applyNumberFormat="1" applyFont="1" applyFill="1" applyAlignment="1">
      <alignment horizontal="center" vertical="top"/>
    </xf>
    <xf numFmtId="0" fontId="52" fillId="0" borderId="0" xfId="0" applyFont="1" applyFill="1" applyAlignment="1">
      <alignment/>
    </xf>
    <xf numFmtId="164" fontId="7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2"/>
  <sheetViews>
    <sheetView zoomScalePageLayoutView="0" workbookViewId="0" topLeftCell="A13">
      <selection activeCell="A1" sqref="A1:IV16384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21" max="21" width="10.140625" style="0" bestFit="1" customWidth="1"/>
  </cols>
  <sheetData>
    <row r="1" s="1" customFormat="1" ht="18">
      <c r="D1" s="2" t="s">
        <v>0</v>
      </c>
    </row>
    <row r="2" spans="1:15" ht="15">
      <c r="A2" s="3"/>
      <c r="B2" s="3"/>
      <c r="D2" s="6" t="s">
        <v>5</v>
      </c>
      <c r="O2" s="20">
        <v>41893</v>
      </c>
    </row>
    <row r="3" spans="1:18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38</v>
      </c>
      <c r="J5" s="23"/>
      <c r="K5" s="23" t="s">
        <v>39</v>
      </c>
      <c r="L5" s="23"/>
      <c r="M5" s="26" t="s">
        <v>27</v>
      </c>
      <c r="O5" s="23" t="s">
        <v>38</v>
      </c>
      <c r="Q5" s="26" t="s">
        <v>24</v>
      </c>
      <c r="Z5" s="22"/>
    </row>
    <row r="6" spans="1:11" s="7" customFormat="1" ht="15">
      <c r="A6" s="14" t="s">
        <v>20</v>
      </c>
      <c r="B6" s="15"/>
      <c r="C6" s="15"/>
      <c r="K6" s="7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194442.87+23279.54+2100</f>
        <v>219822.41</v>
      </c>
      <c r="J8" s="4"/>
      <c r="K8" s="4">
        <f>167128.96+25902.79+2100</f>
        <v>195131.75</v>
      </c>
      <c r="L8" s="4"/>
      <c r="M8" s="4">
        <f aca="true" t="shared" si="0" ref="M8:M14">SUM(I8-K8)</f>
        <v>24690.660000000003</v>
      </c>
      <c r="O8" s="4">
        <f>166094.12+21990.89+2075.02</f>
        <v>190160.03</v>
      </c>
      <c r="Q8" s="4">
        <f aca="true" t="shared" si="1" ref="Q8:Q14">SUM(I8-O8)</f>
        <v>29662.380000000005</v>
      </c>
      <c r="S8" s="4"/>
      <c r="X8" s="4"/>
    </row>
    <row r="9" spans="4:24" ht="12.75">
      <c r="D9" t="s">
        <v>2</v>
      </c>
      <c r="G9" s="4"/>
      <c r="I9" s="4">
        <f>53084.31-41466.66</f>
        <v>11617.649999999994</v>
      </c>
      <c r="J9" s="4"/>
      <c r="K9" s="4">
        <f>85153.04-80491.64</f>
        <v>4661.399999999994</v>
      </c>
      <c r="L9" s="4"/>
      <c r="M9" s="4">
        <f t="shared" si="0"/>
        <v>6956.25</v>
      </c>
      <c r="O9" s="4">
        <f>86677.15-79053.56</f>
        <v>7623.5899999999965</v>
      </c>
      <c r="Q9" s="4">
        <f t="shared" si="1"/>
        <v>3994.0599999999977</v>
      </c>
      <c r="S9" s="4"/>
      <c r="X9" s="4"/>
    </row>
    <row r="10" spans="4:24" ht="12.75">
      <c r="D10" t="s">
        <v>3</v>
      </c>
      <c r="G10" s="4"/>
      <c r="I10" s="4">
        <f>32454.24</f>
        <v>32454.24</v>
      </c>
      <c r="J10" s="4"/>
      <c r="K10" s="4">
        <v>33048.68</v>
      </c>
      <c r="L10" s="4"/>
      <c r="M10" s="4">
        <f t="shared" si="0"/>
        <v>-594.4399999999987</v>
      </c>
      <c r="O10" s="4">
        <f>8807.69</f>
        <v>8807.69</v>
      </c>
      <c r="Q10" s="4">
        <f t="shared" si="1"/>
        <v>23646.550000000003</v>
      </c>
      <c r="S10" s="4"/>
      <c r="X10" s="4"/>
    </row>
    <row r="11" spans="4:24" ht="12.75">
      <c r="D11" t="s">
        <v>31</v>
      </c>
      <c r="G11" s="4"/>
      <c r="I11" s="4">
        <v>5229</v>
      </c>
      <c r="J11" s="4"/>
      <c r="K11" s="4">
        <v>5546.86</v>
      </c>
      <c r="L11" s="4"/>
      <c r="M11" s="4">
        <f t="shared" si="0"/>
        <v>-317.8599999999997</v>
      </c>
      <c r="O11" s="4">
        <f>5655.73</f>
        <v>5655.73</v>
      </c>
      <c r="Q11" s="4">
        <f t="shared" si="1"/>
        <v>-426.72999999999956</v>
      </c>
      <c r="S11" s="4"/>
      <c r="X11" s="4"/>
    </row>
    <row r="12" spans="4:24" ht="12.75">
      <c r="D12" t="s">
        <v>30</v>
      </c>
      <c r="G12" s="4"/>
      <c r="I12" s="4">
        <v>6008.09</v>
      </c>
      <c r="J12" s="4"/>
      <c r="K12" s="4">
        <v>6017.83</v>
      </c>
      <c r="L12" s="4"/>
      <c r="M12" s="4">
        <f t="shared" si="0"/>
        <v>-9.739999999999782</v>
      </c>
      <c r="O12" s="4">
        <f>6021.46</f>
        <v>6021.46</v>
      </c>
      <c r="Q12" s="4">
        <f t="shared" si="1"/>
        <v>-13.36999999999989</v>
      </c>
      <c r="S12" s="4"/>
      <c r="X12" s="4"/>
    </row>
    <row r="13" spans="4:24" ht="12.75">
      <c r="D13" t="s">
        <v>29</v>
      </c>
      <c r="G13" s="4"/>
      <c r="I13" s="4">
        <v>0</v>
      </c>
      <c r="J13" s="4"/>
      <c r="K13" s="4">
        <v>0</v>
      </c>
      <c r="L13" s="4"/>
      <c r="M13" s="4">
        <f t="shared" si="0"/>
        <v>0</v>
      </c>
      <c r="O13" s="4">
        <v>0</v>
      </c>
      <c r="Q13" s="4">
        <f t="shared" si="1"/>
        <v>0</v>
      </c>
      <c r="S13" s="4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275131.39</v>
      </c>
      <c r="J16" s="5"/>
      <c r="K16" s="5">
        <f>SUM(K8:K14)</f>
        <v>244406.51999999996</v>
      </c>
      <c r="L16" s="5"/>
      <c r="M16" s="4">
        <f>SUM(I16-K16)</f>
        <v>30724.870000000054</v>
      </c>
      <c r="N16" s="5"/>
      <c r="O16" s="5">
        <f>SUM(O8:O14)</f>
        <v>218268.5</v>
      </c>
      <c r="Q16" s="5">
        <f>SUM(Q8:Q14)</f>
        <v>56862.89000000001</v>
      </c>
      <c r="S16" s="5"/>
      <c r="U16" s="3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ht="12.75">
      <c r="B19" s="43" t="s">
        <v>34</v>
      </c>
      <c r="C19" s="17"/>
      <c r="D19" s="17"/>
      <c r="E19" s="17"/>
      <c r="F19" s="17"/>
      <c r="G19" s="19"/>
      <c r="H19" s="17"/>
      <c r="I19" s="19">
        <f>I16</f>
        <v>275131.39</v>
      </c>
      <c r="J19" s="19"/>
      <c r="K19" s="19">
        <f>K16</f>
        <v>244406.51999999996</v>
      </c>
      <c r="L19" s="19"/>
      <c r="M19" s="19">
        <f>M16</f>
        <v>30724.870000000054</v>
      </c>
      <c r="N19" s="17"/>
      <c r="O19" s="19">
        <f>O16</f>
        <v>218268.5</v>
      </c>
      <c r="P19" s="17"/>
      <c r="Q19" s="33">
        <f>SUM(I19-O19)</f>
        <v>56862.890000000014</v>
      </c>
      <c r="S19" s="30"/>
      <c r="T19" s="12"/>
      <c r="U19" s="12"/>
      <c r="V19" s="12"/>
      <c r="X19" s="30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ht="12.75">
      <c r="A21" s="16" t="s">
        <v>21</v>
      </c>
      <c r="B21" s="17"/>
      <c r="C21" s="17"/>
      <c r="G21" s="4"/>
      <c r="I21" s="4"/>
      <c r="J21" s="4"/>
      <c r="K21" s="4"/>
      <c r="L21" s="4"/>
      <c r="M21" s="4" t="s">
        <v>18</v>
      </c>
      <c r="O21" s="4"/>
      <c r="S21" s="4"/>
      <c r="T21" s="12"/>
      <c r="X21" s="4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f>25250</f>
        <v>25250</v>
      </c>
      <c r="J23" s="4"/>
      <c r="K23" s="4">
        <v>0</v>
      </c>
      <c r="L23" s="4"/>
      <c r="M23" s="4">
        <f aca="true" t="shared" si="2" ref="M23:M28">SUM(K23-I23)</f>
        <v>-25250</v>
      </c>
      <c r="O23" s="4">
        <v>0</v>
      </c>
      <c r="Q23" s="4">
        <f aca="true" t="shared" si="3" ref="Q23:Q28">SUM(O23-I23)</f>
        <v>-25250</v>
      </c>
      <c r="S23" s="4"/>
      <c r="X23" s="4"/>
    </row>
    <row r="24" spans="3:24" ht="12.75">
      <c r="C24" t="s">
        <v>9</v>
      </c>
      <c r="G24" s="4"/>
      <c r="I24" s="4">
        <f>9373.13+59462.98+2624.46</f>
        <v>71460.57</v>
      </c>
      <c r="J24" s="4"/>
      <c r="K24" s="4">
        <f>9624.55+57803.75+6097</f>
        <v>73525.3</v>
      </c>
      <c r="L24" s="4"/>
      <c r="M24" s="4">
        <f t="shared" si="2"/>
        <v>2064.729999999996</v>
      </c>
      <c r="O24" s="4">
        <f>10173.45+57812.4+6708.2</f>
        <v>74694.05</v>
      </c>
      <c r="Q24" s="4">
        <f t="shared" si="3"/>
        <v>3233.479999999996</v>
      </c>
      <c r="S24" s="4"/>
      <c r="X24" s="4"/>
    </row>
    <row r="25" spans="3:24" ht="12.75">
      <c r="C25" s="3" t="s">
        <v>12</v>
      </c>
      <c r="G25" s="4"/>
      <c r="I25" s="4">
        <f>18034.26</f>
        <v>18034.26</v>
      </c>
      <c r="J25" s="4"/>
      <c r="K25" s="4">
        <f>9819.92</f>
        <v>9819.92</v>
      </c>
      <c r="L25" s="4"/>
      <c r="M25" s="4">
        <f t="shared" si="2"/>
        <v>-8214.339999999998</v>
      </c>
      <c r="O25" s="4">
        <f>10266.83</f>
        <v>10266.83</v>
      </c>
      <c r="Q25" s="4">
        <f t="shared" si="3"/>
        <v>-7767.4299999999985</v>
      </c>
      <c r="S25" s="4"/>
      <c r="X25" s="4"/>
    </row>
    <row r="26" spans="3:24" ht="12.75">
      <c r="C26" t="s">
        <v>33</v>
      </c>
      <c r="G26" s="4"/>
      <c r="I26" s="4">
        <f>2425.2+2822.46+1102.73+4218.68</f>
        <v>10569.07</v>
      </c>
      <c r="J26" s="4"/>
      <c r="K26" s="4">
        <f>2599.59+2759.56+2210.02+1432.33</f>
        <v>9001.5</v>
      </c>
      <c r="L26" s="4"/>
      <c r="M26" s="4">
        <f t="shared" si="2"/>
        <v>-1567.5699999999997</v>
      </c>
      <c r="O26" s="4">
        <f>1582.12+2675.64+1470.39+2184.63</f>
        <v>7912.780000000001</v>
      </c>
      <c r="Q26" s="4">
        <f t="shared" si="3"/>
        <v>-2656.289999999999</v>
      </c>
      <c r="S26" s="4"/>
      <c r="X26" s="4"/>
    </row>
    <row r="27" spans="3:24" ht="12.75">
      <c r="C27" t="s">
        <v>10</v>
      </c>
      <c r="G27" s="4"/>
      <c r="I27" s="4">
        <v>12349.52</v>
      </c>
      <c r="J27" s="4"/>
      <c r="K27" s="4">
        <f>9992.98</f>
        <v>9992.98</v>
      </c>
      <c r="L27" s="4"/>
      <c r="M27" s="4">
        <f t="shared" si="2"/>
        <v>-2356.540000000001</v>
      </c>
      <c r="O27" s="4">
        <f>8933.31</f>
        <v>8933.31</v>
      </c>
      <c r="Q27" s="4">
        <f t="shared" si="3"/>
        <v>-3416.210000000001</v>
      </c>
      <c r="S27" s="4"/>
      <c r="X27" s="4"/>
    </row>
    <row r="28" spans="3:24" ht="12.75">
      <c r="C28" t="s">
        <v>11</v>
      </c>
      <c r="G28" s="4"/>
      <c r="I28" s="4">
        <f>3280.71</f>
        <v>3280.71</v>
      </c>
      <c r="J28" s="4"/>
      <c r="K28" s="4">
        <f>2516.48</f>
        <v>2516.48</v>
      </c>
      <c r="L28" s="4"/>
      <c r="M28" s="4">
        <f t="shared" si="2"/>
        <v>-764.23</v>
      </c>
      <c r="O28" s="4">
        <f>1710.3</f>
        <v>1710.3</v>
      </c>
      <c r="Q28" s="4">
        <f t="shared" si="3"/>
        <v>-1570.41</v>
      </c>
      <c r="S28" s="4"/>
      <c r="X28" s="4"/>
    </row>
    <row r="29" spans="3:24" ht="12.75">
      <c r="C29" s="3" t="s">
        <v>40</v>
      </c>
      <c r="G29" s="4"/>
      <c r="I29" s="4">
        <f>24209.98+7066.4</f>
        <v>31276.379999999997</v>
      </c>
      <c r="J29" s="4"/>
      <c r="K29" s="4">
        <f>18901.53+4357.05</f>
        <v>23258.579999999998</v>
      </c>
      <c r="L29" s="4"/>
      <c r="M29" s="4"/>
      <c r="O29" s="4">
        <f>26732.54+4871.34</f>
        <v>31603.88</v>
      </c>
      <c r="Q29" s="4"/>
      <c r="S29" s="4"/>
      <c r="X29" s="4"/>
    </row>
    <row r="30" spans="3:24" ht="12.75">
      <c r="C30" s="47" t="s">
        <v>41</v>
      </c>
      <c r="G30" s="4"/>
      <c r="I30" s="4">
        <f>19300.41</f>
        <v>19300.41</v>
      </c>
      <c r="J30" s="4"/>
      <c r="K30" s="4">
        <f>25925.35</f>
        <v>25925.35</v>
      </c>
      <c r="L30" s="4"/>
      <c r="M30" s="4">
        <f>SUM(K30-I30)</f>
        <v>6624.939999999999</v>
      </c>
      <c r="O30" s="4">
        <f>27811.47</f>
        <v>27811.47</v>
      </c>
      <c r="Q30" s="4">
        <f>SUM(O30-I30)</f>
        <v>8511.060000000001</v>
      </c>
      <c r="S30" s="4"/>
      <c r="X30" s="4"/>
    </row>
    <row r="31" spans="3:24" ht="12.75">
      <c r="C31" t="s">
        <v>17</v>
      </c>
      <c r="G31" s="4"/>
      <c r="I31" s="4">
        <v>0.41</v>
      </c>
      <c r="J31" s="4"/>
      <c r="K31" s="4">
        <v>0</v>
      </c>
      <c r="L31" s="4"/>
      <c r="M31" s="4">
        <f>SUM(K31-I31)</f>
        <v>-0.41</v>
      </c>
      <c r="O31" s="4">
        <v>0</v>
      </c>
      <c r="Q31" s="4">
        <f>SUM(O31-I31)</f>
        <v>-0.41</v>
      </c>
      <c r="S31" s="4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6439.2</v>
      </c>
      <c r="L32" s="39"/>
      <c r="M32" s="4">
        <f>SUM(K32-I32)</f>
        <v>6439.2</v>
      </c>
      <c r="N32" s="42"/>
      <c r="O32" s="39">
        <v>0</v>
      </c>
      <c r="P32" s="42"/>
      <c r="Q32" s="4">
        <f>SUM(O32-I32)</f>
        <v>0</v>
      </c>
      <c r="S32" s="4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X33" s="4"/>
    </row>
    <row r="34" spans="3:24" ht="12.75">
      <c r="C34" s="3" t="s">
        <v>15</v>
      </c>
      <c r="G34" s="5"/>
      <c r="I34" s="5">
        <f>SUM(I23:I32)</f>
        <v>191521.33</v>
      </c>
      <c r="J34" s="5"/>
      <c r="K34" s="5">
        <f>SUM(K23:K32)</f>
        <v>160479.31</v>
      </c>
      <c r="L34" s="5"/>
      <c r="M34" s="5">
        <f>SUM(M23:M32)</f>
        <v>-23024.220000000005</v>
      </c>
      <c r="N34" s="4"/>
      <c r="O34" s="5">
        <f>SUM(O23:O32)</f>
        <v>162932.62</v>
      </c>
      <c r="Q34" s="5">
        <f>SUM(Q23:Q32)</f>
        <v>-28916.210000000006</v>
      </c>
      <c r="R34" s="4" t="s">
        <v>18</v>
      </c>
      <c r="S34" s="5"/>
      <c r="T34" s="3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S35" s="5"/>
      <c r="T35" s="3"/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X36" s="4"/>
    </row>
    <row r="37" spans="3:24" ht="12.75">
      <c r="C37" s="29" t="s">
        <v>28</v>
      </c>
      <c r="G37" s="4"/>
      <c r="I37" s="4">
        <v>-500</v>
      </c>
      <c r="J37" s="4"/>
      <c r="K37" s="4">
        <v>1894</v>
      </c>
      <c r="L37" s="4"/>
      <c r="M37" s="4">
        <f>SUM(K37-I37)</f>
        <v>2394</v>
      </c>
      <c r="O37" s="4">
        <f>2741.66</f>
        <v>2741.66</v>
      </c>
      <c r="Q37" s="4">
        <f>SUM(O37-I37)</f>
        <v>3241.66</v>
      </c>
      <c r="S37" s="4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S38" s="4"/>
      <c r="W38" s="12"/>
      <c r="X38" s="4"/>
    </row>
    <row r="39" spans="3:24" s="8" customFormat="1" ht="12.75">
      <c r="C39" s="9" t="s">
        <v>16</v>
      </c>
      <c r="G39" s="10"/>
      <c r="I39" s="10">
        <f>SUM(I37:I37)</f>
        <v>-500</v>
      </c>
      <c r="J39" s="10"/>
      <c r="K39" s="10">
        <f>SUM(K37:K37)</f>
        <v>1894</v>
      </c>
      <c r="L39" s="10"/>
      <c r="M39" s="4">
        <f>SUM(K39-I39)</f>
        <v>2394</v>
      </c>
      <c r="N39" s="10"/>
      <c r="O39" s="10">
        <f>SUM(O37:O37)</f>
        <v>2741.66</v>
      </c>
      <c r="Q39" s="4">
        <f>SUM(O39-I39)</f>
        <v>3241.66</v>
      </c>
      <c r="S39" s="10"/>
      <c r="T39" s="9"/>
      <c r="W39" s="35"/>
      <c r="X39" s="10"/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X40" s="10"/>
    </row>
    <row r="41" spans="2:24" ht="12.75">
      <c r="B41" s="18" t="s">
        <v>36</v>
      </c>
      <c r="C41" s="17"/>
      <c r="D41" s="17"/>
      <c r="E41" s="17"/>
      <c r="F41" s="17"/>
      <c r="G41" s="19"/>
      <c r="H41" s="17"/>
      <c r="I41" s="19">
        <f>I34+I39</f>
        <v>191021.33</v>
      </c>
      <c r="J41" s="19"/>
      <c r="K41" s="19">
        <f>K34+K39</f>
        <v>162373.31</v>
      </c>
      <c r="L41" s="19"/>
      <c r="M41" s="45">
        <f>SUM(K41-I41)</f>
        <v>-28648.01999999999</v>
      </c>
      <c r="N41" s="17"/>
      <c r="O41" s="19">
        <f>O34+O39</f>
        <v>165674.28</v>
      </c>
      <c r="P41" s="17"/>
      <c r="Q41" s="19">
        <f>Q34+Q39</f>
        <v>-25674.550000000007</v>
      </c>
      <c r="R41" s="4" t="s">
        <v>18</v>
      </c>
      <c r="S41" s="30"/>
      <c r="T41" s="12"/>
      <c r="U41" s="32" t="s">
        <v>18</v>
      </c>
      <c r="V41" s="12"/>
      <c r="W41" s="12"/>
      <c r="X41" s="30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19" ht="12.75">
      <c r="A43" s="3" t="s">
        <v>22</v>
      </c>
      <c r="G43" s="28"/>
      <c r="H43" s="34"/>
      <c r="I43" s="28">
        <f>I19-I41</f>
        <v>84110.06000000003</v>
      </c>
      <c r="J43" s="28"/>
      <c r="K43" s="28">
        <f>K19-K41</f>
        <v>82033.20999999996</v>
      </c>
      <c r="L43" s="28"/>
      <c r="M43" s="28">
        <f>SUM(M41+M19)</f>
        <v>2076.850000000064</v>
      </c>
      <c r="N43" s="34"/>
      <c r="O43" s="28">
        <f>O19-O41</f>
        <v>52594.22</v>
      </c>
      <c r="P43" s="34"/>
      <c r="Q43" s="28">
        <f>Q19+Q41</f>
        <v>31188.340000000007</v>
      </c>
      <c r="S43" s="36"/>
    </row>
    <row r="44" spans="7:12" ht="12.75">
      <c r="G44" s="4"/>
      <c r="I44" s="4"/>
      <c r="J44" s="4"/>
      <c r="K44" s="4"/>
      <c r="L44" s="4"/>
    </row>
    <row r="45" spans="7:12" ht="12.75">
      <c r="G45" s="4"/>
      <c r="I45" s="4"/>
      <c r="J45" s="4"/>
      <c r="K45" s="4"/>
      <c r="L45" s="4"/>
    </row>
    <row r="46" spans="7:12" ht="12.75">
      <c r="G46" s="4"/>
      <c r="I46" s="4"/>
      <c r="J46" s="4"/>
      <c r="K46" s="4"/>
      <c r="L46" s="4"/>
    </row>
    <row r="47" spans="1:12" ht="12.75">
      <c r="A47" s="3"/>
      <c r="G47" s="4"/>
      <c r="I47" s="4"/>
      <c r="J47" s="4"/>
      <c r="K47" s="4"/>
      <c r="L47" s="4"/>
    </row>
    <row r="48" spans="1:12" ht="12.75">
      <c r="A48" s="3"/>
      <c r="G48" s="4"/>
      <c r="I48" s="4"/>
      <c r="J48" s="4"/>
      <c r="K48" s="4"/>
      <c r="L48" s="4"/>
    </row>
    <row r="49" spans="1:15" ht="12.75">
      <c r="A49" s="3"/>
      <c r="B49" s="3"/>
      <c r="G49" s="4"/>
      <c r="I49" s="4"/>
      <c r="J49" s="4"/>
      <c r="K49" s="4"/>
      <c r="L49" s="4"/>
      <c r="O49" s="5"/>
    </row>
    <row r="50" spans="7:12" ht="12.75">
      <c r="G50" s="4"/>
      <c r="I50" s="4"/>
      <c r="J50" s="4"/>
      <c r="K50" s="4"/>
      <c r="L50" s="4"/>
    </row>
    <row r="51" spans="7:12" ht="12.75">
      <c r="G51" s="4"/>
      <c r="I51" s="4"/>
      <c r="J51" s="4"/>
      <c r="K51" s="4"/>
      <c r="L51" s="4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/>
      <c r="K56" s="4"/>
      <c r="L56" s="4"/>
    </row>
    <row r="57" spans="7:12" ht="12.75">
      <c r="G57" s="4"/>
      <c r="I57" s="4"/>
      <c r="J57" s="4"/>
      <c r="K57" s="4"/>
      <c r="L57" s="4"/>
    </row>
    <row r="58" spans="7:12" ht="12.75">
      <c r="G58" s="4"/>
      <c r="I58" s="4"/>
      <c r="J58" s="4"/>
      <c r="K58" s="4"/>
      <c r="L58" s="4"/>
    </row>
    <row r="59" spans="4:12" ht="12.75">
      <c r="D59" s="29"/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7:12" ht="12.75">
      <c r="G62" s="4"/>
      <c r="I62" s="4"/>
      <c r="J62" s="4"/>
      <c r="K62" s="4"/>
      <c r="L62" s="4"/>
    </row>
  </sheetData>
  <sheetProtection/>
  <printOptions/>
  <pageMargins left="0.7" right="0.7" top="0.75" bottom="0.75" header="0.3" footer="0.3"/>
  <pageSetup horizontalDpi="600" verticalDpi="600" orientation="landscape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62"/>
  <sheetViews>
    <sheetView zoomScalePageLayoutView="0" workbookViewId="0" topLeftCell="A1">
      <selection activeCell="O38" sqref="O38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19" max="19" width="11.140625" style="0" bestFit="1" customWidth="1"/>
    <col min="21" max="21" width="12.28125" style="0" hidden="1" customWidth="1"/>
    <col min="22" max="24" width="0" style="0" hidden="1" customWidth="1"/>
  </cols>
  <sheetData>
    <row r="1" s="1" customFormat="1" ht="18">
      <c r="D1" s="2" t="s">
        <v>0</v>
      </c>
    </row>
    <row r="2" spans="1:15" ht="15">
      <c r="A2" s="3"/>
      <c r="B2" s="3"/>
      <c r="D2" s="6" t="s">
        <v>5</v>
      </c>
      <c r="O2" s="20">
        <v>42626</v>
      </c>
    </row>
    <row r="3" spans="1:18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54</v>
      </c>
      <c r="J5" s="23"/>
      <c r="K5" s="23" t="s">
        <v>55</v>
      </c>
      <c r="L5" s="23"/>
      <c r="M5" s="26" t="s">
        <v>27</v>
      </c>
      <c r="O5" s="23" t="s">
        <v>54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188763.96+17848.1+4450</f>
        <v>211062.06</v>
      </c>
      <c r="J8" s="4"/>
      <c r="K8" s="4">
        <f>189623.14+25569.93+1350</f>
        <v>216543.07</v>
      </c>
      <c r="L8" s="4"/>
      <c r="M8" s="4">
        <f aca="true" t="shared" si="0" ref="M8:M14">SUM(I8-K8)</f>
        <v>-5481.010000000009</v>
      </c>
      <c r="O8" s="4">
        <f>204264.2+21489.87+1123.12</f>
        <v>226877.19</v>
      </c>
      <c r="Q8" s="4">
        <f aca="true" t="shared" si="1" ref="Q8:Q14">SUM(I8-O8)</f>
        <v>-15815.130000000005</v>
      </c>
      <c r="S8" s="4"/>
      <c r="U8" s="65"/>
      <c r="X8" s="4"/>
    </row>
    <row r="9" spans="4:24" ht="12.75">
      <c r="D9" t="s">
        <v>2</v>
      </c>
      <c r="G9" s="4"/>
      <c r="I9" s="4">
        <v>7673.79</v>
      </c>
      <c r="J9" s="4"/>
      <c r="K9" s="4">
        <v>16350.98</v>
      </c>
      <c r="L9" s="4"/>
      <c r="M9" s="4">
        <f t="shared" si="0"/>
        <v>-8677.189999999999</v>
      </c>
      <c r="O9" s="4">
        <v>21652.5</v>
      </c>
      <c r="Q9" s="4">
        <f t="shared" si="1"/>
        <v>-13978.71</v>
      </c>
      <c r="S9" s="4"/>
      <c r="U9" s="65"/>
      <c r="X9" s="4"/>
    </row>
    <row r="10" spans="4:24" ht="12.75">
      <c r="D10" t="s">
        <v>3</v>
      </c>
      <c r="G10" s="4"/>
      <c r="I10" s="4">
        <v>53720.28</v>
      </c>
      <c r="J10" s="4"/>
      <c r="K10" s="4">
        <v>39909.03</v>
      </c>
      <c r="L10" s="4"/>
      <c r="M10" s="4">
        <f t="shared" si="0"/>
        <v>13811.25</v>
      </c>
      <c r="O10" s="4">
        <v>26423.13</v>
      </c>
      <c r="Q10" s="4">
        <f t="shared" si="1"/>
        <v>27297.149999999998</v>
      </c>
      <c r="S10" s="4"/>
      <c r="U10" s="65"/>
      <c r="X10" s="4"/>
    </row>
    <row r="11" spans="4:24" ht="12.75">
      <c r="D11" t="s">
        <v>31</v>
      </c>
      <c r="G11" s="4"/>
      <c r="I11" s="4">
        <f>176.08+5275.19</f>
        <v>5451.2699999999995</v>
      </c>
      <c r="J11" s="4"/>
      <c r="K11" s="4">
        <f>249.83+3325.84</f>
        <v>3575.67</v>
      </c>
      <c r="L11" s="4"/>
      <c r="M11" s="4">
        <f t="shared" si="0"/>
        <v>1875.5999999999995</v>
      </c>
      <c r="O11" s="4">
        <f>304.24+1269.37</f>
        <v>1573.61</v>
      </c>
      <c r="Q11" s="4">
        <f t="shared" si="1"/>
        <v>3877.66</v>
      </c>
      <c r="S11" s="4"/>
      <c r="U11" s="65"/>
      <c r="X11" s="4"/>
    </row>
    <row r="12" spans="4:24" ht="12.75">
      <c r="D12" t="s">
        <v>30</v>
      </c>
      <c r="G12" s="4"/>
      <c r="I12" s="4">
        <v>24.97</v>
      </c>
      <c r="J12" s="4"/>
      <c r="K12" s="4">
        <v>38.8</v>
      </c>
      <c r="L12" s="4"/>
      <c r="M12" s="4">
        <f t="shared" si="0"/>
        <v>-13.829999999999998</v>
      </c>
      <c r="O12" s="4">
        <v>45.29</v>
      </c>
      <c r="Q12" s="4">
        <f t="shared" si="1"/>
        <v>-20.32</v>
      </c>
      <c r="S12" s="4"/>
      <c r="U12" s="65"/>
      <c r="X12" s="4"/>
    </row>
    <row r="13" spans="4:24" ht="12.75">
      <c r="D13" t="s">
        <v>29</v>
      </c>
      <c r="G13" s="4"/>
      <c r="I13" s="4">
        <v>0</v>
      </c>
      <c r="J13" s="4"/>
      <c r="K13" s="4">
        <v>0</v>
      </c>
      <c r="L13" s="4"/>
      <c r="M13" s="4">
        <f t="shared" si="0"/>
        <v>0</v>
      </c>
      <c r="O13" s="4">
        <v>0</v>
      </c>
      <c r="Q13" s="4">
        <f t="shared" si="1"/>
        <v>0</v>
      </c>
      <c r="S13" s="4"/>
      <c r="U13" s="65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U14" s="65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277932.37</v>
      </c>
      <c r="J16" s="5"/>
      <c r="K16" s="5">
        <f>SUM(K8:K14)</f>
        <v>276417.55</v>
      </c>
      <c r="L16" s="5"/>
      <c r="M16" s="5">
        <f>SUM(M8:M14)</f>
        <v>1514.8199999999915</v>
      </c>
      <c r="N16" s="5"/>
      <c r="O16" s="5">
        <f>SUM(O8:O14)</f>
        <v>276571.72</v>
      </c>
      <c r="Q16" s="5">
        <f>SUM(Q8:Q14)</f>
        <v>1360.649999999994</v>
      </c>
      <c r="S16" s="5"/>
      <c r="U16" s="5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58" customFormat="1" ht="12.75">
      <c r="B19" s="59" t="s">
        <v>34</v>
      </c>
      <c r="C19" s="60"/>
      <c r="G19" s="61"/>
      <c r="I19" s="61">
        <f>I16</f>
        <v>277932.37</v>
      </c>
      <c r="J19" s="61"/>
      <c r="K19" s="61">
        <f>K16</f>
        <v>276417.55</v>
      </c>
      <c r="L19" s="61"/>
      <c r="M19" s="61">
        <f>M16</f>
        <v>1514.8199999999915</v>
      </c>
      <c r="O19" s="61">
        <f>O16</f>
        <v>276571.72</v>
      </c>
      <c r="Q19" s="62">
        <f>SUM(I19-O19)</f>
        <v>1360.6500000000233</v>
      </c>
      <c r="S19" s="61"/>
      <c r="U19" s="61"/>
      <c r="X19" s="61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26533.26</v>
      </c>
      <c r="J23" s="4"/>
      <c r="K23" s="4">
        <v>25816.74</v>
      </c>
      <c r="L23" s="4"/>
      <c r="M23" s="4">
        <f aca="true" t="shared" si="2" ref="M23:M29">SUM(K23-I23)</f>
        <v>-716.5199999999968</v>
      </c>
      <c r="O23" s="4">
        <f>26757.83+1333.33</f>
        <v>28091.160000000003</v>
      </c>
      <c r="Q23" s="4">
        <f aca="true" t="shared" si="3" ref="Q23:Q29">SUM(O23-I23)</f>
        <v>1557.900000000005</v>
      </c>
      <c r="S23" s="4"/>
      <c r="U23" s="65"/>
      <c r="X23" s="4"/>
    </row>
    <row r="24" spans="3:24" ht="12.75">
      <c r="C24" t="s">
        <v>9</v>
      </c>
      <c r="G24" s="4"/>
      <c r="I24" s="4">
        <f>7739.64+71541.8+6789.8+3305.18</f>
        <v>89376.42</v>
      </c>
      <c r="J24" s="4"/>
      <c r="K24" s="4">
        <f>7970.6+59919.14+0+2423.18</f>
        <v>70312.92</v>
      </c>
      <c r="L24" s="4"/>
      <c r="M24" s="4">
        <f t="shared" si="2"/>
        <v>-19063.5</v>
      </c>
      <c r="O24" s="4">
        <f>8175.18+61800.26+0+2949.15</f>
        <v>72924.59</v>
      </c>
      <c r="Q24" s="4">
        <f t="shared" si="3"/>
        <v>-16451.83</v>
      </c>
      <c r="S24" s="4"/>
      <c r="U24" s="65"/>
      <c r="X24" s="4"/>
    </row>
    <row r="25" spans="3:24" ht="12.75">
      <c r="C25" s="3" t="s">
        <v>12</v>
      </c>
      <c r="G25" s="4"/>
      <c r="I25" s="4">
        <v>22729.56</v>
      </c>
      <c r="J25" s="4"/>
      <c r="K25" s="4">
        <v>18180.46</v>
      </c>
      <c r="L25" s="4"/>
      <c r="M25" s="4">
        <f t="shared" si="2"/>
        <v>-4549.100000000002</v>
      </c>
      <c r="O25" s="4">
        <v>19463.41</v>
      </c>
      <c r="Q25" s="4">
        <f t="shared" si="3"/>
        <v>-3266.1500000000015</v>
      </c>
      <c r="S25" s="4"/>
      <c r="U25" s="65"/>
      <c r="X25" s="4"/>
    </row>
    <row r="26" spans="3:24" ht="12.75">
      <c r="C26" t="s">
        <v>33</v>
      </c>
      <c r="G26" s="4"/>
      <c r="I26" s="4">
        <f>1497.15+2934.8+6797.41+2923.71</f>
        <v>14153.07</v>
      </c>
      <c r="J26" s="4" t="s">
        <v>18</v>
      </c>
      <c r="K26" s="4">
        <f>2344.91+2344.52+1965.24+2021.93</f>
        <v>8676.6</v>
      </c>
      <c r="L26" s="4"/>
      <c r="M26" s="4">
        <f t="shared" si="2"/>
        <v>-5476.469999999999</v>
      </c>
      <c r="O26" s="4">
        <f>4175.25+2518.39+1944.14+2238.2</f>
        <v>10875.98</v>
      </c>
      <c r="Q26" s="4">
        <f t="shared" si="3"/>
        <v>-3277.09</v>
      </c>
      <c r="S26" s="4"/>
      <c r="U26" s="65"/>
      <c r="X26" s="4"/>
    </row>
    <row r="27" spans="3:24" ht="12.75">
      <c r="C27" t="s">
        <v>10</v>
      </c>
      <c r="G27" s="4"/>
      <c r="I27" s="4">
        <v>28125.19</v>
      </c>
      <c r="J27" s="4"/>
      <c r="K27" s="4">
        <v>27908.63</v>
      </c>
      <c r="L27" s="4"/>
      <c r="M27" s="4">
        <f t="shared" si="2"/>
        <v>-216.55999999999767</v>
      </c>
      <c r="O27" s="4">
        <v>18284.7</v>
      </c>
      <c r="Q27" s="4">
        <f t="shared" si="3"/>
        <v>-9840.489999999998</v>
      </c>
      <c r="S27" s="4"/>
      <c r="U27" s="65"/>
      <c r="X27" s="4"/>
    </row>
    <row r="28" spans="3:24" ht="12.75">
      <c r="C28" t="s">
        <v>11</v>
      </c>
      <c r="G28" s="4"/>
      <c r="I28" s="4">
        <v>1430.52</v>
      </c>
      <c r="J28" s="4"/>
      <c r="K28" s="4">
        <v>1467.77</v>
      </c>
      <c r="L28" s="4"/>
      <c r="M28" s="4">
        <f t="shared" si="2"/>
        <v>37.25</v>
      </c>
      <c r="O28" s="4">
        <v>1573.64</v>
      </c>
      <c r="Q28" s="4">
        <f t="shared" si="3"/>
        <v>143.12000000000012</v>
      </c>
      <c r="S28" s="4"/>
      <c r="U28" s="65"/>
      <c r="X28" s="4"/>
    </row>
    <row r="29" spans="3:24" ht="12.75">
      <c r="C29" s="3" t="s">
        <v>40</v>
      </c>
      <c r="G29" s="4"/>
      <c r="I29" s="4">
        <v>11184.75</v>
      </c>
      <c r="J29" s="4"/>
      <c r="K29" s="4">
        <v>17139.95</v>
      </c>
      <c r="L29" s="4"/>
      <c r="M29" s="4">
        <f t="shared" si="2"/>
        <v>5955.200000000001</v>
      </c>
      <c r="O29" s="4">
        <v>20290.09</v>
      </c>
      <c r="Q29" s="4">
        <f t="shared" si="3"/>
        <v>9105.34</v>
      </c>
      <c r="S29" s="4"/>
      <c r="U29" s="65"/>
      <c r="X29" s="4"/>
    </row>
    <row r="30" spans="3:24" ht="12.75">
      <c r="C30" s="47" t="s">
        <v>41</v>
      </c>
      <c r="G30" s="4"/>
      <c r="I30" s="4">
        <v>15939.34</v>
      </c>
      <c r="J30" s="4"/>
      <c r="K30" s="4">
        <v>15137.81</v>
      </c>
      <c r="L30" s="4"/>
      <c r="M30" s="4">
        <f>SUM(K30-I30)</f>
        <v>-801.5300000000007</v>
      </c>
      <c r="O30" s="4">
        <v>17317.17</v>
      </c>
      <c r="Q30" s="4">
        <f>SUM(O30-I30)</f>
        <v>1377.829999999998</v>
      </c>
      <c r="S30" s="4"/>
      <c r="U30" s="65"/>
      <c r="X30" s="4"/>
    </row>
    <row r="31" spans="3:24" ht="12.75">
      <c r="C31" t="s">
        <v>17</v>
      </c>
      <c r="G31" s="4"/>
      <c r="I31" s="4">
        <v>0.41</v>
      </c>
      <c r="J31" s="4"/>
      <c r="K31" s="4">
        <v>0</v>
      </c>
      <c r="L31" s="4"/>
      <c r="M31" s="4">
        <f>SUM(K31-I31)</f>
        <v>-0.41</v>
      </c>
      <c r="O31" s="4">
        <v>0</v>
      </c>
      <c r="Q31" s="4">
        <f>SUM(O31-I31)</f>
        <v>-0.41</v>
      </c>
      <c r="S31" s="4"/>
      <c r="U31" s="65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0</v>
      </c>
      <c r="L32" s="39"/>
      <c r="M32" s="4">
        <f>SUM(K32-I32)</f>
        <v>0</v>
      </c>
      <c r="N32" s="42"/>
      <c r="O32" s="39">
        <v>0</v>
      </c>
      <c r="P32" s="42"/>
      <c r="Q32" s="4">
        <f>SUM(O32-I32)</f>
        <v>0</v>
      </c>
      <c r="S32" s="4"/>
      <c r="U32" s="65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U33" s="65"/>
      <c r="X33" s="4"/>
    </row>
    <row r="34" spans="3:24" ht="12.75">
      <c r="C34" s="3" t="s">
        <v>15</v>
      </c>
      <c r="G34" s="5"/>
      <c r="I34" s="5">
        <f>SUM(I23:I32)</f>
        <v>209472.52</v>
      </c>
      <c r="J34" s="5"/>
      <c r="K34" s="5">
        <f>SUM(K23:K32)</f>
        <v>184640.88</v>
      </c>
      <c r="L34" s="5"/>
      <c r="M34" s="5">
        <f>SUM(M23:M32)</f>
        <v>-24831.639999999996</v>
      </c>
      <c r="N34" s="4"/>
      <c r="O34" s="5">
        <f>SUM(O23:O32)</f>
        <v>188820.74000000005</v>
      </c>
      <c r="Q34" s="5">
        <f>SUM(Q23:Q32)</f>
        <v>-20651.78</v>
      </c>
      <c r="R34" s="4"/>
      <c r="S34" s="5"/>
      <c r="T34" s="3"/>
      <c r="U34" s="5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T35" s="3"/>
      <c r="U35" s="65"/>
      <c r="V35" s="5">
        <f>88088+22931.73+41000-237790.53-41000-22844.36</f>
        <v>-149615.16000000003</v>
      </c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U36" s="65"/>
      <c r="X36" s="4"/>
    </row>
    <row r="37" spans="3:24" ht="12.75">
      <c r="C37" s="29" t="s">
        <v>28</v>
      </c>
      <c r="G37" s="4"/>
      <c r="I37" s="4">
        <v>0</v>
      </c>
      <c r="J37" s="4"/>
      <c r="K37" s="4">
        <v>0</v>
      </c>
      <c r="L37" s="4"/>
      <c r="M37" s="4">
        <f>SUM(K37-I37)</f>
        <v>0</v>
      </c>
      <c r="O37" s="4">
        <v>0</v>
      </c>
      <c r="Q37" s="4">
        <f>SUM(O37-I37)</f>
        <v>0</v>
      </c>
      <c r="S37" s="4"/>
      <c r="U37" s="65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U38" s="65"/>
      <c r="V38" s="4">
        <f>860980.59-237486.54-68321.5</f>
        <v>555172.5499999999</v>
      </c>
      <c r="W38" s="12"/>
      <c r="X38" s="4"/>
    </row>
    <row r="39" spans="3:24" s="8" customFormat="1" ht="12.75">
      <c r="C39" s="9" t="s">
        <v>16</v>
      </c>
      <c r="G39" s="10"/>
      <c r="I39" s="10">
        <f>SUM(I37:I37)</f>
        <v>0</v>
      </c>
      <c r="J39" s="10"/>
      <c r="K39" s="10">
        <f>SUM(K37:K37)</f>
        <v>0</v>
      </c>
      <c r="L39" s="10"/>
      <c r="M39" s="4">
        <f>SUM(K39-I39)</f>
        <v>0</v>
      </c>
      <c r="N39" s="10"/>
      <c r="O39" s="10">
        <f>SUM(O37:O37)</f>
        <v>0</v>
      </c>
      <c r="Q39" s="4">
        <f>SUM(O39-I39)</f>
        <v>0</v>
      </c>
      <c r="U39" s="10"/>
      <c r="V39" s="10">
        <f>22932-22844</f>
        <v>88</v>
      </c>
      <c r="W39" s="35"/>
      <c r="X39" s="9">
        <f>16991-17079</f>
        <v>-88</v>
      </c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U40" s="66"/>
      <c r="X40" s="10"/>
    </row>
    <row r="41" spans="2:24" s="58" customFormat="1" ht="12.75">
      <c r="B41" s="63" t="s">
        <v>36</v>
      </c>
      <c r="G41" s="61"/>
      <c r="I41" s="61">
        <f>I34+I39</f>
        <v>209472.52</v>
      </c>
      <c r="J41" s="61"/>
      <c r="K41" s="61">
        <f>K34+K39</f>
        <v>184640.88</v>
      </c>
      <c r="L41" s="61"/>
      <c r="M41" s="61">
        <f>M34+M39</f>
        <v>-24831.639999999996</v>
      </c>
      <c r="O41" s="61">
        <f>O34+O39</f>
        <v>188820.74000000005</v>
      </c>
      <c r="Q41" s="61">
        <f>Q34+Q39</f>
        <v>-20651.78</v>
      </c>
      <c r="R41" s="64"/>
      <c r="S41" s="61"/>
      <c r="U41" s="61"/>
      <c r="X41" s="61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21" s="58" customFormat="1" ht="12.75">
      <c r="A43" s="63" t="s">
        <v>22</v>
      </c>
      <c r="G43" s="62"/>
      <c r="I43" s="62">
        <f>I19-I41</f>
        <v>68459.85</v>
      </c>
      <c r="J43" s="62"/>
      <c r="K43" s="62">
        <f>K19-K41</f>
        <v>91776.66999999998</v>
      </c>
      <c r="L43" s="62"/>
      <c r="M43" s="62">
        <f>SUM(M41+M19)</f>
        <v>-23316.820000000003</v>
      </c>
      <c r="O43" s="62">
        <f>O19-O41</f>
        <v>87750.97999999992</v>
      </c>
      <c r="Q43" s="62">
        <f>Q19+Q41</f>
        <v>-19291.129999999976</v>
      </c>
      <c r="S43" s="62"/>
      <c r="U43" s="62"/>
    </row>
    <row r="44" spans="7:12" ht="12.75">
      <c r="G44" s="4"/>
      <c r="I44" s="4"/>
      <c r="J44" s="4"/>
      <c r="K44" s="4"/>
      <c r="L44" s="4"/>
    </row>
    <row r="45" spans="7:12" ht="12.75">
      <c r="G45" s="4"/>
      <c r="I45" s="4"/>
      <c r="J45" s="4"/>
      <c r="K45" s="4"/>
      <c r="L45" s="4"/>
    </row>
    <row r="46" spans="7:12" ht="12.75">
      <c r="G46" s="4"/>
      <c r="I46" s="4"/>
      <c r="J46" s="4"/>
      <c r="K46" s="67"/>
      <c r="L46" s="4"/>
    </row>
    <row r="47" spans="1:12" ht="12.75">
      <c r="A47" s="3"/>
      <c r="G47" s="4"/>
      <c r="I47" s="4"/>
      <c r="J47" s="4"/>
      <c r="K47" s="4"/>
      <c r="L47" s="4"/>
    </row>
    <row r="48" spans="1:12" ht="12.75">
      <c r="A48" s="3"/>
      <c r="G48" s="4"/>
      <c r="I48" s="4"/>
      <c r="J48" s="4"/>
      <c r="K48" s="4"/>
      <c r="L48" s="4"/>
    </row>
    <row r="49" spans="1:15" ht="12.75">
      <c r="A49" s="3"/>
      <c r="B49" s="3"/>
      <c r="G49" s="4"/>
      <c r="I49" s="4"/>
      <c r="J49" s="4"/>
      <c r="K49" s="4"/>
      <c r="L49" s="4"/>
      <c r="O49" s="5"/>
    </row>
    <row r="50" spans="7:12" ht="12.75">
      <c r="G50" s="4"/>
      <c r="I50" s="4"/>
      <c r="J50" s="4"/>
      <c r="K50" s="4"/>
      <c r="L50" s="4"/>
    </row>
    <row r="51" spans="7:12" ht="12.75">
      <c r="G51" s="4"/>
      <c r="I51" s="4"/>
      <c r="J51" s="4"/>
      <c r="K51" s="4"/>
      <c r="L51" s="4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 t="s">
        <v>18</v>
      </c>
      <c r="K56" s="4"/>
      <c r="L56" s="4"/>
    </row>
    <row r="57" spans="7:12" ht="12.75">
      <c r="G57" s="4"/>
      <c r="I57" s="4"/>
      <c r="J57" s="4"/>
      <c r="K57" s="4"/>
      <c r="L57" s="4"/>
    </row>
    <row r="58" spans="7:12" ht="12.75">
      <c r="G58" s="4"/>
      <c r="I58" s="4"/>
      <c r="J58" s="4"/>
      <c r="K58" s="4"/>
      <c r="L58" s="4"/>
    </row>
    <row r="59" spans="4:12" ht="12.75">
      <c r="D59" s="29"/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7:12" ht="12.75">
      <c r="G62" s="4"/>
      <c r="I62" s="4"/>
      <c r="J62" s="4"/>
      <c r="K62" s="4"/>
      <c r="L62" s="4"/>
    </row>
  </sheetData>
  <sheetProtection/>
  <printOptions/>
  <pageMargins left="0.7" right="0.7" top="0.75" bottom="0.75" header="0.3" footer="0.3"/>
  <pageSetup orientation="landscape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62"/>
  <sheetViews>
    <sheetView zoomScalePageLayoutView="0" workbookViewId="0" topLeftCell="A1">
      <selection activeCell="O25" sqref="O25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19" max="19" width="11.140625" style="0" bestFit="1" customWidth="1"/>
    <col min="21" max="21" width="12.28125" style="0" hidden="1" customWidth="1"/>
    <col min="22" max="24" width="0" style="0" hidden="1" customWidth="1"/>
  </cols>
  <sheetData>
    <row r="1" s="1" customFormat="1" ht="18">
      <c r="D1" s="2" t="s">
        <v>0</v>
      </c>
    </row>
    <row r="2" spans="1:15" ht="15">
      <c r="A2" s="3"/>
      <c r="B2" s="3"/>
      <c r="D2" s="6" t="s">
        <v>56</v>
      </c>
      <c r="O2" s="20">
        <v>42754</v>
      </c>
    </row>
    <row r="3" spans="1:18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57</v>
      </c>
      <c r="J5" s="23"/>
      <c r="K5" s="23" t="s">
        <v>58</v>
      </c>
      <c r="L5" s="23"/>
      <c r="M5" s="26" t="s">
        <v>27</v>
      </c>
      <c r="O5" s="23" t="s">
        <v>57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603212.08+121356.71+10850</f>
        <v>735418.7899999999</v>
      </c>
      <c r="J8" s="4"/>
      <c r="K8" s="4">
        <f>570104.83+142361.26+3575</f>
        <v>716041.09</v>
      </c>
      <c r="L8" s="4"/>
      <c r="M8" s="4">
        <f aca="true" t="shared" si="0" ref="M8:M14">SUM(I8-K8)</f>
        <v>19377.699999999953</v>
      </c>
      <c r="O8" s="4">
        <f>614123.27+139866.11+3160.87</f>
        <v>757150.25</v>
      </c>
      <c r="Q8" s="4">
        <f aca="true" t="shared" si="1" ref="Q8:Q14">SUM(I8-O8)</f>
        <v>-21731.46000000008</v>
      </c>
      <c r="S8" s="4"/>
      <c r="U8" s="65"/>
      <c r="X8" s="4"/>
    </row>
    <row r="9" spans="4:24" ht="12.75">
      <c r="D9" t="s">
        <v>2</v>
      </c>
      <c r="G9" s="4"/>
      <c r="I9" s="4">
        <v>8278.95</v>
      </c>
      <c r="J9" s="4"/>
      <c r="K9" s="4">
        <v>-1179.03</v>
      </c>
      <c r="L9" s="4"/>
      <c r="M9" s="4">
        <f t="shared" si="0"/>
        <v>9457.980000000001</v>
      </c>
      <c r="O9" s="4">
        <v>20618.83</v>
      </c>
      <c r="Q9" s="4">
        <f t="shared" si="1"/>
        <v>-12339.880000000001</v>
      </c>
      <c r="S9" s="4"/>
      <c r="U9" s="65"/>
      <c r="X9" s="4"/>
    </row>
    <row r="10" spans="4:24" ht="12.75">
      <c r="D10" t="s">
        <v>3</v>
      </c>
      <c r="G10" s="4"/>
      <c r="I10" s="4">
        <v>79764.33</v>
      </c>
      <c r="J10" s="4"/>
      <c r="K10" s="4">
        <v>75436.26</v>
      </c>
      <c r="L10" s="4"/>
      <c r="M10" s="4">
        <f t="shared" si="0"/>
        <v>4328.070000000007</v>
      </c>
      <c r="O10" s="4">
        <v>49604.21</v>
      </c>
      <c r="Q10" s="4">
        <f t="shared" si="1"/>
        <v>30160.120000000003</v>
      </c>
      <c r="S10" s="4"/>
      <c r="U10" s="65"/>
      <c r="X10" s="4"/>
    </row>
    <row r="11" spans="4:24" ht="12.75">
      <c r="D11" t="s">
        <v>31</v>
      </c>
      <c r="G11" s="4"/>
      <c r="I11" s="4">
        <f>1865.34+14070.19</f>
        <v>15935.53</v>
      </c>
      <c r="J11" s="4"/>
      <c r="K11" s="4">
        <f>1792.18+12773.39</f>
        <v>14565.57</v>
      </c>
      <c r="L11" s="4"/>
      <c r="M11" s="4">
        <f t="shared" si="0"/>
        <v>1369.960000000001</v>
      </c>
      <c r="O11" s="4">
        <f>2182.49+5893.81</f>
        <v>8076.3</v>
      </c>
      <c r="Q11" s="4">
        <f t="shared" si="1"/>
        <v>7859.2300000000005</v>
      </c>
      <c r="S11" s="4"/>
      <c r="U11" s="65"/>
      <c r="X11" s="4"/>
    </row>
    <row r="12" spans="4:24" ht="12.75">
      <c r="D12" t="s">
        <v>30</v>
      </c>
      <c r="G12" s="4"/>
      <c r="I12" s="4">
        <v>4067.08</v>
      </c>
      <c r="J12" s="4"/>
      <c r="K12" s="4">
        <v>100.63</v>
      </c>
      <c r="L12" s="4"/>
      <c r="M12" s="4">
        <f t="shared" si="0"/>
        <v>3966.45</v>
      </c>
      <c r="O12" s="4">
        <v>126.25</v>
      </c>
      <c r="Q12" s="4">
        <f t="shared" si="1"/>
        <v>3940.83</v>
      </c>
      <c r="S12" s="4"/>
      <c r="U12" s="65"/>
      <c r="X12" s="4"/>
    </row>
    <row r="13" spans="4:24" ht="12.75">
      <c r="D13" t="s">
        <v>29</v>
      </c>
      <c r="G13" s="4"/>
      <c r="I13" s="4">
        <v>105</v>
      </c>
      <c r="J13" s="4"/>
      <c r="K13" s="4">
        <v>1281</v>
      </c>
      <c r="L13" s="4"/>
      <c r="M13" s="4">
        <f t="shared" si="0"/>
        <v>-1176</v>
      </c>
      <c r="O13" s="4">
        <v>0</v>
      </c>
      <c r="Q13" s="4">
        <f t="shared" si="1"/>
        <v>105</v>
      </c>
      <c r="S13" s="4"/>
      <c r="U13" s="65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U14" s="65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843569.6799999998</v>
      </c>
      <c r="J16" s="5"/>
      <c r="K16" s="5">
        <f>SUM(K8:K14)</f>
        <v>806245.5199999999</v>
      </c>
      <c r="L16" s="5"/>
      <c r="M16" s="5">
        <f>SUM(M8:M14)</f>
        <v>37324.15999999996</v>
      </c>
      <c r="N16" s="5"/>
      <c r="O16" s="5">
        <f>SUM(O8:O14)</f>
        <v>835575.84</v>
      </c>
      <c r="Q16" s="5">
        <f>SUM(Q8:Q14)</f>
        <v>7993.839999999919</v>
      </c>
      <c r="S16" s="5"/>
      <c r="U16" s="5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58" customFormat="1" ht="12.75">
      <c r="B19" s="59" t="s">
        <v>34</v>
      </c>
      <c r="C19" s="60"/>
      <c r="G19" s="61"/>
      <c r="I19" s="61">
        <f>I16</f>
        <v>843569.6799999998</v>
      </c>
      <c r="J19" s="61"/>
      <c r="K19" s="61">
        <f>K16</f>
        <v>806245.5199999999</v>
      </c>
      <c r="L19" s="61"/>
      <c r="M19" s="61">
        <f>M16</f>
        <v>37324.15999999996</v>
      </c>
      <c r="O19" s="61">
        <f>O16</f>
        <v>835575.84</v>
      </c>
      <c r="Q19" s="62">
        <f>SUM(I19-O19)</f>
        <v>7993.839999999851</v>
      </c>
      <c r="S19" s="61"/>
      <c r="U19" s="61"/>
      <c r="X19" s="61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83570.26</v>
      </c>
      <c r="J23" s="4"/>
      <c r="K23" s="4">
        <v>77450.22</v>
      </c>
      <c r="L23" s="4"/>
      <c r="M23" s="4">
        <f aca="true" t="shared" si="2" ref="M23:M29">SUM(K23-I23)</f>
        <v>-6120.039999999994</v>
      </c>
      <c r="O23" s="4">
        <f>80273.5+4000</f>
        <v>84273.5</v>
      </c>
      <c r="Q23" s="4">
        <f aca="true" t="shared" si="3" ref="Q23:Q29">SUM(O23-I23)</f>
        <v>703.2400000000052</v>
      </c>
      <c r="S23" s="4"/>
      <c r="U23" s="65"/>
      <c r="X23" s="4"/>
    </row>
    <row r="24" spans="3:24" ht="12.75">
      <c r="C24" t="s">
        <v>9</v>
      </c>
      <c r="G24" s="4"/>
      <c r="I24" s="4">
        <f>32733.66+234623.43+20369.4+24974</f>
        <v>312700.49</v>
      </c>
      <c r="J24" s="4"/>
      <c r="K24" s="4">
        <f>29499.55+216459.81+21519.38+32186.93</f>
        <v>299665.67</v>
      </c>
      <c r="L24" s="4"/>
      <c r="M24" s="4">
        <f t="shared" si="2"/>
        <v>-13034.820000000007</v>
      </c>
      <c r="O24" s="4">
        <f>30039.54+223810.86+23133.34+29305.34</f>
        <v>306289.08</v>
      </c>
      <c r="Q24" s="4">
        <f t="shared" si="3"/>
        <v>-6411.409999999974</v>
      </c>
      <c r="S24" s="4"/>
      <c r="U24" s="65"/>
      <c r="X24" s="4"/>
    </row>
    <row r="25" spans="3:24" ht="12.75">
      <c r="C25" s="3" t="s">
        <v>12</v>
      </c>
      <c r="G25" s="4"/>
      <c r="I25" s="4">
        <v>69550.67</v>
      </c>
      <c r="J25" s="4"/>
      <c r="K25" s="4">
        <v>65649.2</v>
      </c>
      <c r="L25" s="4"/>
      <c r="M25" s="4">
        <f t="shared" si="2"/>
        <v>-3901.470000000001</v>
      </c>
      <c r="O25" s="4">
        <v>71529.02</v>
      </c>
      <c r="Q25" s="4">
        <f t="shared" si="3"/>
        <v>1978.3500000000058</v>
      </c>
      <c r="S25" s="4"/>
      <c r="U25" s="65"/>
      <c r="X25" s="4"/>
    </row>
    <row r="26" spans="3:24" ht="12.75">
      <c r="C26" t="s">
        <v>33</v>
      </c>
      <c r="G26" s="4"/>
      <c r="I26" s="4">
        <f>4801.32+11997.44+14464.1+21110.03</f>
        <v>52372.89</v>
      </c>
      <c r="J26" s="4" t="s">
        <v>18</v>
      </c>
      <c r="K26" s="4">
        <f>9003.93+18853.6+6514.41+13346.83</f>
        <v>47718.770000000004</v>
      </c>
      <c r="L26" s="4"/>
      <c r="M26" s="4">
        <f t="shared" si="2"/>
        <v>-4654.119999999995</v>
      </c>
      <c r="O26" s="4">
        <f>15950.69+21759.36+6846.77+14180.21</f>
        <v>58737.030000000006</v>
      </c>
      <c r="Q26" s="4">
        <f t="shared" si="3"/>
        <v>6364.140000000007</v>
      </c>
      <c r="S26" s="4"/>
      <c r="U26" s="65"/>
      <c r="X26" s="4"/>
    </row>
    <row r="27" spans="3:24" ht="12.75">
      <c r="C27" t="s">
        <v>10</v>
      </c>
      <c r="G27" s="4"/>
      <c r="I27" s="4">
        <v>46767.56</v>
      </c>
      <c r="J27" s="4"/>
      <c r="K27" s="4">
        <v>60574.98</v>
      </c>
      <c r="L27" s="4"/>
      <c r="M27" s="4">
        <f t="shared" si="2"/>
        <v>13807.420000000006</v>
      </c>
      <c r="O27" s="4">
        <v>38758.28</v>
      </c>
      <c r="Q27" s="4">
        <f t="shared" si="3"/>
        <v>-8009.279999999999</v>
      </c>
      <c r="S27" s="4"/>
      <c r="U27" s="65"/>
      <c r="X27" s="4"/>
    </row>
    <row r="28" spans="3:24" ht="12.75">
      <c r="C28" t="s">
        <v>11</v>
      </c>
      <c r="G28" s="4"/>
      <c r="I28" s="4">
        <v>8219.1</v>
      </c>
      <c r="J28" s="4"/>
      <c r="K28" s="4">
        <v>9144.18</v>
      </c>
      <c r="L28" s="4"/>
      <c r="M28" s="4">
        <f t="shared" si="2"/>
        <v>925.0799999999999</v>
      </c>
      <c r="O28" s="4">
        <v>9412.39</v>
      </c>
      <c r="Q28" s="4">
        <f t="shared" si="3"/>
        <v>1193.289999999999</v>
      </c>
      <c r="S28" s="4"/>
      <c r="U28" s="65"/>
      <c r="X28" s="4"/>
    </row>
    <row r="29" spans="3:24" ht="12.75">
      <c r="C29" s="3" t="s">
        <v>40</v>
      </c>
      <c r="G29" s="4"/>
      <c r="I29" s="4">
        <v>38984.82</v>
      </c>
      <c r="J29" s="4"/>
      <c r="K29" s="4">
        <v>103957.49</v>
      </c>
      <c r="L29" s="4"/>
      <c r="M29" s="4">
        <f t="shared" si="2"/>
        <v>64972.670000000006</v>
      </c>
      <c r="O29" s="4">
        <v>92499.6</v>
      </c>
      <c r="Q29" s="4">
        <f t="shared" si="3"/>
        <v>53514.780000000006</v>
      </c>
      <c r="S29" s="4"/>
      <c r="U29" s="65"/>
      <c r="X29" s="4"/>
    </row>
    <row r="30" spans="3:24" ht="12.75">
      <c r="C30" s="47" t="s">
        <v>41</v>
      </c>
      <c r="G30" s="4"/>
      <c r="I30" s="4">
        <v>41806.98</v>
      </c>
      <c r="J30" s="4"/>
      <c r="K30" s="4">
        <v>46162.2</v>
      </c>
      <c r="L30" s="4"/>
      <c r="M30" s="4">
        <f>SUM(K30-I30)</f>
        <v>4355.219999999994</v>
      </c>
      <c r="O30" s="4">
        <v>52768.2</v>
      </c>
      <c r="Q30" s="4">
        <f>SUM(O30-I30)</f>
        <v>10961.219999999994</v>
      </c>
      <c r="S30" s="4"/>
      <c r="U30" s="65"/>
      <c r="X30" s="4"/>
    </row>
    <row r="31" spans="3:24" ht="12.75">
      <c r="C31" t="s">
        <v>17</v>
      </c>
      <c r="G31" s="4"/>
      <c r="I31" s="4">
        <v>0.41</v>
      </c>
      <c r="J31" s="4"/>
      <c r="K31" s="4">
        <v>0</v>
      </c>
      <c r="L31" s="4"/>
      <c r="M31" s="4">
        <f>SUM(K31-I31)</f>
        <v>-0.41</v>
      </c>
      <c r="O31" s="4">
        <v>0</v>
      </c>
      <c r="Q31" s="4">
        <f>SUM(O31-I31)</f>
        <v>-0.41</v>
      </c>
      <c r="S31" s="4"/>
      <c r="U31" s="65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0</v>
      </c>
      <c r="L32" s="39"/>
      <c r="M32" s="4">
        <f>SUM(K32-I32)</f>
        <v>0</v>
      </c>
      <c r="N32" s="42"/>
      <c r="O32" s="39">
        <v>0</v>
      </c>
      <c r="P32" s="42"/>
      <c r="Q32" s="4">
        <f>SUM(O32-I32)</f>
        <v>0</v>
      </c>
      <c r="S32" s="4"/>
      <c r="U32" s="65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U33" s="65"/>
      <c r="X33" s="4"/>
    </row>
    <row r="34" spans="3:24" ht="12.75">
      <c r="C34" s="3" t="s">
        <v>15</v>
      </c>
      <c r="G34" s="5"/>
      <c r="I34" s="5">
        <f>SUM(I23:I32)</f>
        <v>653973.1799999999</v>
      </c>
      <c r="J34" s="5"/>
      <c r="K34" s="5">
        <f>SUM(K23:K32)</f>
        <v>710322.7100000001</v>
      </c>
      <c r="L34" s="5"/>
      <c r="M34" s="5">
        <f>SUM(M23:M32)</f>
        <v>56349.530000000006</v>
      </c>
      <c r="N34" s="4"/>
      <c r="O34" s="5">
        <f>SUM(O23:O32)</f>
        <v>714267.1</v>
      </c>
      <c r="Q34" s="5">
        <f>SUM(Q23:Q32)</f>
        <v>60293.92000000004</v>
      </c>
      <c r="R34" s="4"/>
      <c r="S34" s="5"/>
      <c r="T34" s="3"/>
      <c r="U34" s="5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T35" s="3"/>
      <c r="U35" s="65"/>
      <c r="V35" s="5">
        <f>88088+22931.73+41000-237790.53-41000-22844.36</f>
        <v>-149615.16000000003</v>
      </c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U36" s="65"/>
      <c r="X36" s="4"/>
    </row>
    <row r="37" spans="3:24" ht="12.75">
      <c r="C37" s="29" t="s">
        <v>28</v>
      </c>
      <c r="G37" s="4"/>
      <c r="I37" s="4">
        <v>69783.33</v>
      </c>
      <c r="J37" s="4"/>
      <c r="K37" s="4">
        <v>71808.5</v>
      </c>
      <c r="L37" s="4"/>
      <c r="M37" s="4">
        <f>SUM(K37-I37)</f>
        <v>2025.1699999999983</v>
      </c>
      <c r="O37" s="4">
        <v>77461.55</v>
      </c>
      <c r="Q37" s="4">
        <f>SUM(O37-I37)</f>
        <v>7678.220000000001</v>
      </c>
      <c r="S37" s="4"/>
      <c r="U37" s="65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U38" s="65"/>
      <c r="V38" s="4">
        <f>860980.59-237486.54-68321.5</f>
        <v>555172.5499999999</v>
      </c>
      <c r="W38" s="12"/>
      <c r="X38" s="4"/>
    </row>
    <row r="39" spans="3:24" s="8" customFormat="1" ht="12.75">
      <c r="C39" s="9" t="s">
        <v>16</v>
      </c>
      <c r="G39" s="10"/>
      <c r="I39" s="10">
        <f>SUM(I37:I37)</f>
        <v>69783.33</v>
      </c>
      <c r="J39" s="10"/>
      <c r="K39" s="10">
        <f>SUM(K37:K37)</f>
        <v>71808.5</v>
      </c>
      <c r="L39" s="10"/>
      <c r="M39" s="4">
        <f>SUM(K39-I39)</f>
        <v>2025.1699999999983</v>
      </c>
      <c r="N39" s="10"/>
      <c r="O39" s="10">
        <f>SUM(O37:O37)</f>
        <v>77461.55</v>
      </c>
      <c r="Q39" s="4">
        <f>SUM(O39-I39)</f>
        <v>7678.220000000001</v>
      </c>
      <c r="U39" s="10"/>
      <c r="V39" s="10">
        <f>22932-22844</f>
        <v>88</v>
      </c>
      <c r="W39" s="35"/>
      <c r="X39" s="9">
        <f>16991-17079</f>
        <v>-88</v>
      </c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U40" s="66"/>
      <c r="X40" s="10"/>
    </row>
    <row r="41" spans="2:24" s="58" customFormat="1" ht="12.75">
      <c r="B41" s="63" t="s">
        <v>36</v>
      </c>
      <c r="G41" s="61"/>
      <c r="I41" s="61">
        <f>I34+I39</f>
        <v>723756.5099999999</v>
      </c>
      <c r="J41" s="61"/>
      <c r="K41" s="61">
        <f>K34+K39</f>
        <v>782131.2100000001</v>
      </c>
      <c r="L41" s="61"/>
      <c r="M41" s="61">
        <f>M34+M39</f>
        <v>58374.700000000004</v>
      </c>
      <c r="O41" s="61">
        <f>O34+O39</f>
        <v>791728.65</v>
      </c>
      <c r="Q41" s="61">
        <f>Q34+Q39</f>
        <v>67972.14000000004</v>
      </c>
      <c r="R41" s="64"/>
      <c r="S41" s="61"/>
      <c r="U41" s="61"/>
      <c r="X41" s="61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21" s="58" customFormat="1" ht="12.75">
      <c r="A43" s="63" t="s">
        <v>22</v>
      </c>
      <c r="G43" s="62"/>
      <c r="I43" s="62">
        <f>I19-I41</f>
        <v>119813.16999999993</v>
      </c>
      <c r="J43" s="62"/>
      <c r="K43" s="62">
        <f>K19-K41</f>
        <v>24114.309999999823</v>
      </c>
      <c r="L43" s="62"/>
      <c r="M43" s="62">
        <f>SUM(M41+M19)</f>
        <v>95698.85999999996</v>
      </c>
      <c r="O43" s="62">
        <f>O19-O41</f>
        <v>43847.189999999944</v>
      </c>
      <c r="Q43" s="62">
        <f>Q19+Q41</f>
        <v>75965.9799999999</v>
      </c>
      <c r="S43" s="62"/>
      <c r="U43" s="62"/>
    </row>
    <row r="44" spans="7:12" ht="12.75">
      <c r="G44" s="4"/>
      <c r="I44" s="4"/>
      <c r="J44" s="4"/>
      <c r="K44" s="4"/>
      <c r="L44" s="4"/>
    </row>
    <row r="45" spans="7:12" ht="12.75">
      <c r="G45" s="4"/>
      <c r="I45" s="4"/>
      <c r="J45" s="4"/>
      <c r="K45" s="4"/>
      <c r="L45" s="4"/>
    </row>
    <row r="46" spans="7:12" ht="12.75">
      <c r="G46" s="4"/>
      <c r="I46" s="4"/>
      <c r="J46" s="4"/>
      <c r="K46" s="67"/>
      <c r="L46" s="4"/>
    </row>
    <row r="47" spans="1:12" ht="12.75">
      <c r="A47" s="3"/>
      <c r="G47" s="4"/>
      <c r="I47" s="4"/>
      <c r="J47" s="4"/>
      <c r="K47" s="4"/>
      <c r="L47" s="4"/>
    </row>
    <row r="48" spans="1:12" ht="12.75">
      <c r="A48" s="3"/>
      <c r="G48" s="4"/>
      <c r="I48" s="4"/>
      <c r="J48" s="4"/>
      <c r="K48" s="4"/>
      <c r="L48" s="4"/>
    </row>
    <row r="49" spans="1:15" ht="12.75">
      <c r="A49" s="3"/>
      <c r="B49" s="3"/>
      <c r="G49" s="4"/>
      <c r="I49" s="4"/>
      <c r="J49" s="4"/>
      <c r="K49" s="4"/>
      <c r="L49" s="4"/>
      <c r="O49" s="5"/>
    </row>
    <row r="50" spans="7:12" ht="12.75">
      <c r="G50" s="4"/>
      <c r="I50" s="4"/>
      <c r="J50" s="4"/>
      <c r="K50" s="4"/>
      <c r="L50" s="4"/>
    </row>
    <row r="51" spans="7:12" ht="12.75">
      <c r="G51" s="4"/>
      <c r="I51" s="4"/>
      <c r="J51" s="4"/>
      <c r="K51" s="4"/>
      <c r="L51" s="4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 t="s">
        <v>18</v>
      </c>
      <c r="K56" s="4"/>
      <c r="L56" s="4"/>
    </row>
    <row r="57" spans="7:12" ht="12.75">
      <c r="G57" s="4"/>
      <c r="I57" s="4"/>
      <c r="J57" s="4"/>
      <c r="K57" s="4"/>
      <c r="L57" s="4"/>
    </row>
    <row r="58" spans="7:12" ht="12.75">
      <c r="G58" s="4"/>
      <c r="I58" s="4"/>
      <c r="J58" s="4"/>
      <c r="K58" s="4"/>
      <c r="L58" s="4"/>
    </row>
    <row r="59" spans="4:12" ht="12.75">
      <c r="D59" s="29"/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7:12" ht="12.75">
      <c r="G62" s="4"/>
      <c r="I62" s="4"/>
      <c r="J62" s="4"/>
      <c r="K62" s="4"/>
      <c r="L62" s="4"/>
    </row>
  </sheetData>
  <sheetProtection/>
  <printOptions/>
  <pageMargins left="0.7" right="0.7" top="0.75" bottom="0.75" header="0.3" footer="0.3"/>
  <pageSetup orientation="landscape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62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19" max="19" width="11.140625" style="0" bestFit="1" customWidth="1"/>
    <col min="21" max="21" width="12.28125" style="0" hidden="1" customWidth="1"/>
    <col min="22" max="24" width="0" style="0" hidden="1" customWidth="1"/>
  </cols>
  <sheetData>
    <row r="1" s="1" customFormat="1" ht="18">
      <c r="D1" s="2" t="s">
        <v>0</v>
      </c>
    </row>
    <row r="2" spans="1:15" ht="15">
      <c r="A2" s="3"/>
      <c r="B2" s="3"/>
      <c r="D2" s="6" t="s">
        <v>56</v>
      </c>
      <c r="O2" s="20">
        <v>42793</v>
      </c>
    </row>
    <row r="3" spans="1:18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59</v>
      </c>
      <c r="J5" s="23"/>
      <c r="K5" s="23" t="s">
        <v>60</v>
      </c>
      <c r="L5" s="23"/>
      <c r="M5" s="26" t="s">
        <v>27</v>
      </c>
      <c r="O5" s="23" t="s">
        <v>59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692427.78+132043.75+11900</f>
        <v>836371.53</v>
      </c>
      <c r="J8" s="4"/>
      <c r="K8" s="4">
        <f>645694.24+156940.16+4375</f>
        <v>807009.4</v>
      </c>
      <c r="L8" s="4"/>
      <c r="M8" s="4">
        <f aca="true" t="shared" si="0" ref="M8:M14">SUM(I8-K8)</f>
        <v>29362.130000000005</v>
      </c>
      <c r="O8" s="4">
        <f>695577.58+154573.26+3889.45</f>
        <v>854040.2899999999</v>
      </c>
      <c r="Q8" s="4">
        <f aca="true" t="shared" si="1" ref="Q8:Q14">SUM(I8-O8)</f>
        <v>-17668.759999999893</v>
      </c>
      <c r="S8" s="4"/>
      <c r="U8" s="65"/>
      <c r="X8" s="4"/>
    </row>
    <row r="9" spans="4:24" ht="12.75">
      <c r="D9" t="s">
        <v>2</v>
      </c>
      <c r="G9" s="4"/>
      <c r="I9" s="4">
        <v>15989.76</v>
      </c>
      <c r="J9" s="4"/>
      <c r="K9" s="4">
        <v>2081.65</v>
      </c>
      <c r="L9" s="4"/>
      <c r="M9" s="4">
        <f t="shared" si="0"/>
        <v>13908.11</v>
      </c>
      <c r="O9" s="4">
        <v>25875.99</v>
      </c>
      <c r="Q9" s="4">
        <f t="shared" si="1"/>
        <v>-9886.230000000001</v>
      </c>
      <c r="S9" s="4"/>
      <c r="U9" s="65"/>
      <c r="X9" s="4"/>
    </row>
    <row r="10" spans="4:24" ht="12.75">
      <c r="D10" t="s">
        <v>3</v>
      </c>
      <c r="G10" s="4"/>
      <c r="I10" s="4">
        <v>83356.33</v>
      </c>
      <c r="J10" s="4"/>
      <c r="K10" s="4">
        <v>80080.76</v>
      </c>
      <c r="L10" s="4"/>
      <c r="M10" s="4">
        <f t="shared" si="0"/>
        <v>3275.570000000007</v>
      </c>
      <c r="O10" s="4">
        <v>53959.43</v>
      </c>
      <c r="Q10" s="4">
        <f t="shared" si="1"/>
        <v>29396.9</v>
      </c>
      <c r="S10" s="4"/>
      <c r="U10" s="65"/>
      <c r="X10" s="4"/>
    </row>
    <row r="11" spans="4:24" ht="12.75">
      <c r="D11" t="s">
        <v>31</v>
      </c>
      <c r="G11" s="4"/>
      <c r="I11" s="4">
        <f>2314.18+10708.51</f>
        <v>13022.69</v>
      </c>
      <c r="J11" s="4"/>
      <c r="K11" s="4">
        <f>1887.04+15313.39</f>
        <v>17200.43</v>
      </c>
      <c r="L11" s="4"/>
      <c r="M11" s="4">
        <f t="shared" si="0"/>
        <v>-4177.74</v>
      </c>
      <c r="O11" s="4">
        <f>2298.01+7206.66</f>
        <v>9504.67</v>
      </c>
      <c r="Q11" s="4">
        <f t="shared" si="1"/>
        <v>3518.0200000000004</v>
      </c>
      <c r="S11" s="4"/>
      <c r="U11" s="65"/>
      <c r="X11" s="4"/>
    </row>
    <row r="12" spans="4:24" ht="12.75">
      <c r="D12" t="s">
        <v>30</v>
      </c>
      <c r="G12" s="4"/>
      <c r="I12" s="4">
        <v>4164.75</v>
      </c>
      <c r="J12" s="4"/>
      <c r="K12" s="4">
        <v>173.47</v>
      </c>
      <c r="L12" s="4"/>
      <c r="M12" s="4">
        <f t="shared" si="0"/>
        <v>3991.28</v>
      </c>
      <c r="O12" s="4">
        <v>211.28</v>
      </c>
      <c r="Q12" s="4">
        <f t="shared" si="1"/>
        <v>3953.47</v>
      </c>
      <c r="S12" s="4"/>
      <c r="U12" s="65"/>
      <c r="X12" s="4"/>
    </row>
    <row r="13" spans="4:24" ht="12.75">
      <c r="D13" t="s">
        <v>29</v>
      </c>
      <c r="G13" s="4"/>
      <c r="I13" s="4">
        <v>148.75</v>
      </c>
      <c r="J13" s="4"/>
      <c r="K13" s="4">
        <v>1281</v>
      </c>
      <c r="L13" s="4"/>
      <c r="M13" s="4">
        <f t="shared" si="0"/>
        <v>-1132.25</v>
      </c>
      <c r="O13" s="4">
        <v>0</v>
      </c>
      <c r="Q13" s="4">
        <f t="shared" si="1"/>
        <v>148.75</v>
      </c>
      <c r="S13" s="4"/>
      <c r="U13" s="65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U14" s="65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953053.8099999999</v>
      </c>
      <c r="J16" s="5"/>
      <c r="K16" s="5">
        <f>SUM(K8:K14)</f>
        <v>907826.7100000001</v>
      </c>
      <c r="L16" s="5"/>
      <c r="M16" s="5">
        <f>SUM(M8:M14)</f>
        <v>45227.10000000001</v>
      </c>
      <c r="N16" s="5"/>
      <c r="O16" s="5">
        <f>SUM(O8:O14)</f>
        <v>943591.66</v>
      </c>
      <c r="Q16" s="5">
        <f>SUM(Q8:Q14)</f>
        <v>9462.150000000105</v>
      </c>
      <c r="S16" s="5"/>
      <c r="U16" s="5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58" customFormat="1" ht="12.75">
      <c r="B19" s="59" t="s">
        <v>34</v>
      </c>
      <c r="C19" s="60"/>
      <c r="G19" s="61"/>
      <c r="I19" s="61">
        <f>I16</f>
        <v>953053.8099999999</v>
      </c>
      <c r="J19" s="61"/>
      <c r="K19" s="61">
        <f>K16</f>
        <v>907826.7100000001</v>
      </c>
      <c r="L19" s="61"/>
      <c r="M19" s="61">
        <f>M16</f>
        <v>45227.10000000001</v>
      </c>
      <c r="O19" s="61">
        <f>O16</f>
        <v>943591.66</v>
      </c>
      <c r="Q19" s="62">
        <f>SUM(I19-O19)</f>
        <v>9462.149999999907</v>
      </c>
      <c r="S19" s="61"/>
      <c r="U19" s="61"/>
      <c r="X19" s="61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100806.91</v>
      </c>
      <c r="J23" s="4"/>
      <c r="K23" s="4">
        <v>90358.59</v>
      </c>
      <c r="L23" s="4"/>
      <c r="M23" s="4">
        <f aca="true" t="shared" si="2" ref="M23:M29">SUM(K23-I23)</f>
        <v>-10448.320000000007</v>
      </c>
      <c r="O23" s="4">
        <v>98319.08</v>
      </c>
      <c r="Q23" s="4">
        <f aca="true" t="shared" si="3" ref="Q23:Q29">SUM(O23-I23)</f>
        <v>-2487.8300000000017</v>
      </c>
      <c r="S23" s="4"/>
      <c r="U23" s="65"/>
      <c r="X23" s="4"/>
    </row>
    <row r="24" spans="3:24" ht="12.75">
      <c r="C24" t="s">
        <v>9</v>
      </c>
      <c r="G24" s="4"/>
      <c r="I24" s="4">
        <f>38426.45+287453.54+23764.3+34494.7</f>
        <v>384138.99</v>
      </c>
      <c r="J24" s="4"/>
      <c r="K24" s="4">
        <f>36533.84+252344.17+25105.97+39480.3</f>
        <v>353464.27999999997</v>
      </c>
      <c r="L24" s="4"/>
      <c r="M24" s="4">
        <f t="shared" si="2"/>
        <v>-30674.71000000002</v>
      </c>
      <c r="O24" s="4">
        <f>36917.14+261176.53+26988.92+35674.59</f>
        <v>360757.17999999993</v>
      </c>
      <c r="Q24" s="4">
        <f t="shared" si="3"/>
        <v>-23381.810000000056</v>
      </c>
      <c r="S24" s="4"/>
      <c r="U24" s="65"/>
      <c r="X24" s="4"/>
    </row>
    <row r="25" spans="3:24" ht="12.75">
      <c r="C25" s="3" t="s">
        <v>12</v>
      </c>
      <c r="G25" s="4"/>
      <c r="I25" s="4">
        <v>80179.29</v>
      </c>
      <c r="J25" s="4"/>
      <c r="K25" s="4">
        <v>76186.65</v>
      </c>
      <c r="L25" s="4"/>
      <c r="M25" s="4">
        <f t="shared" si="2"/>
        <v>-3992.6399999999994</v>
      </c>
      <c r="O25" s="4">
        <v>82950.42</v>
      </c>
      <c r="Q25" s="4">
        <f t="shared" si="3"/>
        <v>2771.1300000000047</v>
      </c>
      <c r="S25" s="4"/>
      <c r="U25" s="65"/>
      <c r="X25" s="4"/>
    </row>
    <row r="26" spans="3:24" ht="12.75">
      <c r="C26" t="s">
        <v>33</v>
      </c>
      <c r="G26" s="4"/>
      <c r="I26" s="4">
        <f>6051.49+14552.79+16777.8+24713.57</f>
        <v>62095.65</v>
      </c>
      <c r="J26" s="4" t="s">
        <v>18</v>
      </c>
      <c r="K26" s="4">
        <f>10464.17+21779.58+7531.26+14137.6</f>
        <v>53912.61</v>
      </c>
      <c r="L26" s="4"/>
      <c r="M26" s="4">
        <f t="shared" si="2"/>
        <v>-8183.040000000001</v>
      </c>
      <c r="O26" s="4">
        <f>18501.87+24909.09+7997.83+15072.79</f>
        <v>66481.58</v>
      </c>
      <c r="Q26" s="4">
        <f t="shared" si="3"/>
        <v>4385.93</v>
      </c>
      <c r="S26" s="4"/>
      <c r="U26" s="65"/>
      <c r="X26" s="4"/>
    </row>
    <row r="27" spans="3:24" ht="12.75">
      <c r="C27" t="s">
        <v>10</v>
      </c>
      <c r="G27" s="4"/>
      <c r="I27" s="4">
        <v>50984.15</v>
      </c>
      <c r="J27" s="4"/>
      <c r="K27" s="4">
        <v>67230.7</v>
      </c>
      <c r="L27" s="4"/>
      <c r="M27" s="4">
        <f t="shared" si="2"/>
        <v>16246.549999999996</v>
      </c>
      <c r="O27" s="4">
        <v>44366.88</v>
      </c>
      <c r="Q27" s="4">
        <f t="shared" si="3"/>
        <v>-6617.270000000004</v>
      </c>
      <c r="S27" s="4"/>
      <c r="U27" s="65"/>
      <c r="X27" s="4"/>
    </row>
    <row r="28" spans="3:24" ht="12.75">
      <c r="C28" t="s">
        <v>11</v>
      </c>
      <c r="G28" s="4"/>
      <c r="I28" s="4">
        <v>9296.77</v>
      </c>
      <c r="J28" s="4"/>
      <c r="K28" s="4">
        <v>11419.13</v>
      </c>
      <c r="L28" s="4"/>
      <c r="M28" s="4">
        <f t="shared" si="2"/>
        <v>2122.3599999999988</v>
      </c>
      <c r="O28" s="4">
        <v>11745.01</v>
      </c>
      <c r="Q28" s="4">
        <f t="shared" si="3"/>
        <v>2448.24</v>
      </c>
      <c r="S28" s="4"/>
      <c r="U28" s="65"/>
      <c r="X28" s="4"/>
    </row>
    <row r="29" spans="3:24" ht="12.75">
      <c r="C29" s="3" t="s">
        <v>40</v>
      </c>
      <c r="G29" s="4"/>
      <c r="I29" s="4">
        <v>46113.8</v>
      </c>
      <c r="J29" s="4"/>
      <c r="K29" s="4">
        <v>110484.45</v>
      </c>
      <c r="L29" s="4"/>
      <c r="M29" s="4">
        <f t="shared" si="2"/>
        <v>64370.649999999994</v>
      </c>
      <c r="O29" s="4">
        <v>100077.96</v>
      </c>
      <c r="Q29" s="4">
        <f t="shared" si="3"/>
        <v>53964.16</v>
      </c>
      <c r="S29" s="4"/>
      <c r="U29" s="65"/>
      <c r="X29" s="4"/>
    </row>
    <row r="30" spans="3:24" ht="12.75">
      <c r="C30" s="47" t="s">
        <v>41</v>
      </c>
      <c r="G30" s="4"/>
      <c r="I30" s="4">
        <v>46665.36</v>
      </c>
      <c r="J30" s="4"/>
      <c r="K30" s="4">
        <v>53087.48</v>
      </c>
      <c r="L30" s="4"/>
      <c r="M30" s="4">
        <f>SUM(K30-I30)</f>
        <v>6422.120000000003</v>
      </c>
      <c r="O30" s="4">
        <v>60549.17</v>
      </c>
      <c r="Q30" s="4">
        <f>SUM(O30-I30)</f>
        <v>13883.809999999998</v>
      </c>
      <c r="S30" s="4"/>
      <c r="U30" s="65"/>
      <c r="X30" s="4"/>
    </row>
    <row r="31" spans="3:24" ht="12.75">
      <c r="C31" t="s">
        <v>17</v>
      </c>
      <c r="G31" s="4"/>
      <c r="I31" s="4">
        <v>0.41</v>
      </c>
      <c r="J31" s="4"/>
      <c r="K31" s="4">
        <v>0</v>
      </c>
      <c r="L31" s="4"/>
      <c r="M31" s="4">
        <f>SUM(K31-I31)</f>
        <v>-0.41</v>
      </c>
      <c r="O31" s="4">
        <v>0</v>
      </c>
      <c r="Q31" s="4">
        <f>SUM(O31-I31)</f>
        <v>-0.41</v>
      </c>
      <c r="S31" s="4"/>
      <c r="U31" s="65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0</v>
      </c>
      <c r="L32" s="39"/>
      <c r="M32" s="4">
        <f>SUM(K32-I32)</f>
        <v>0</v>
      </c>
      <c r="N32" s="42"/>
      <c r="O32" s="39">
        <v>0</v>
      </c>
      <c r="P32" s="42"/>
      <c r="Q32" s="4">
        <f>SUM(O32-I32)</f>
        <v>0</v>
      </c>
      <c r="S32" s="4"/>
      <c r="U32" s="65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U33" s="65"/>
      <c r="X33" s="4"/>
    </row>
    <row r="34" spans="3:24" ht="12.75">
      <c r="C34" s="3" t="s">
        <v>15</v>
      </c>
      <c r="G34" s="5"/>
      <c r="I34" s="5">
        <f>SUM(I23:I32)</f>
        <v>780281.3300000002</v>
      </c>
      <c r="J34" s="5"/>
      <c r="K34" s="5">
        <f>SUM(K23:K32)</f>
        <v>816143.8899999999</v>
      </c>
      <c r="L34" s="5"/>
      <c r="M34" s="5">
        <f>SUM(M23:M32)</f>
        <v>35862.55999999996</v>
      </c>
      <c r="N34" s="4"/>
      <c r="O34" s="5">
        <f>SUM(O23:O32)</f>
        <v>825247.2799999999</v>
      </c>
      <c r="Q34" s="5">
        <f>SUM(Q23:Q32)</f>
        <v>44965.94999999994</v>
      </c>
      <c r="R34" s="4"/>
      <c r="S34" s="5"/>
      <c r="T34" s="3"/>
      <c r="U34" s="5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T35" s="3"/>
      <c r="U35" s="65"/>
      <c r="V35" s="5">
        <f>88088+22931.73+41000-237790.53-41000-22844.36</f>
        <v>-149615.16000000003</v>
      </c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U36" s="65"/>
      <c r="X36" s="4"/>
    </row>
    <row r="37" spans="3:24" ht="12.75">
      <c r="C37" s="29" t="s">
        <v>28</v>
      </c>
      <c r="G37" s="4"/>
      <c r="I37" s="4">
        <v>104491.66</v>
      </c>
      <c r="J37" s="4"/>
      <c r="K37" s="4">
        <v>102472.25</v>
      </c>
      <c r="L37" s="4"/>
      <c r="M37" s="4">
        <f>SUM(K37-I37)</f>
        <v>-2019.4100000000035</v>
      </c>
      <c r="O37" s="4">
        <v>110539.28</v>
      </c>
      <c r="Q37" s="4">
        <f>SUM(O37-I37)</f>
        <v>6047.619999999995</v>
      </c>
      <c r="S37" s="4"/>
      <c r="U37" s="65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U38" s="65"/>
      <c r="V38" s="4">
        <f>860980.59-237486.54-68321.5</f>
        <v>555172.5499999999</v>
      </c>
      <c r="W38" s="12"/>
      <c r="X38" s="4"/>
    </row>
    <row r="39" spans="3:24" s="8" customFormat="1" ht="12.75">
      <c r="C39" s="9" t="s">
        <v>16</v>
      </c>
      <c r="G39" s="10"/>
      <c r="I39" s="10">
        <f>SUM(I37:I37)</f>
        <v>104491.66</v>
      </c>
      <c r="J39" s="10"/>
      <c r="K39" s="10">
        <f>SUM(K37:K37)</f>
        <v>102472.25</v>
      </c>
      <c r="L39" s="10"/>
      <c r="M39" s="4">
        <f>SUM(K39-I39)</f>
        <v>-2019.4100000000035</v>
      </c>
      <c r="N39" s="10"/>
      <c r="O39" s="10">
        <f>SUM(O37:O37)</f>
        <v>110539.28</v>
      </c>
      <c r="Q39" s="4">
        <f>SUM(O39-I39)</f>
        <v>6047.619999999995</v>
      </c>
      <c r="U39" s="10"/>
      <c r="V39" s="10">
        <f>22932-22844</f>
        <v>88</v>
      </c>
      <c r="W39" s="35"/>
      <c r="X39" s="9">
        <f>16991-17079</f>
        <v>-88</v>
      </c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U40" s="66"/>
      <c r="X40" s="10"/>
    </row>
    <row r="41" spans="2:24" s="58" customFormat="1" ht="12.75">
      <c r="B41" s="63" t="s">
        <v>36</v>
      </c>
      <c r="G41" s="61"/>
      <c r="I41" s="61">
        <f>I34+I39</f>
        <v>884772.9900000002</v>
      </c>
      <c r="J41" s="61"/>
      <c r="K41" s="61">
        <f>K34+K39</f>
        <v>918616.1399999999</v>
      </c>
      <c r="L41" s="61"/>
      <c r="M41" s="61">
        <f>M34+M39</f>
        <v>33843.14999999996</v>
      </c>
      <c r="O41" s="61">
        <f>O34+O39</f>
        <v>935786.5599999999</v>
      </c>
      <c r="Q41" s="61">
        <f>Q34+Q39</f>
        <v>51013.569999999934</v>
      </c>
      <c r="R41" s="64"/>
      <c r="S41" s="61"/>
      <c r="U41" s="61"/>
      <c r="X41" s="61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21" s="58" customFormat="1" ht="12.75">
      <c r="A43" s="63" t="s">
        <v>22</v>
      </c>
      <c r="G43" s="62"/>
      <c r="I43" s="62">
        <f>I19-I41</f>
        <v>68280.81999999972</v>
      </c>
      <c r="J43" s="62"/>
      <c r="K43" s="62">
        <f>K19-K41</f>
        <v>-10789.429999999818</v>
      </c>
      <c r="L43" s="62"/>
      <c r="M43" s="62">
        <f>SUM(M41+M19)</f>
        <v>79070.24999999997</v>
      </c>
      <c r="O43" s="62">
        <f>O19-O41</f>
        <v>7805.100000000093</v>
      </c>
      <c r="Q43" s="62">
        <f>Q19+Q41</f>
        <v>60475.71999999984</v>
      </c>
      <c r="S43" s="62"/>
      <c r="U43" s="62"/>
    </row>
    <row r="44" spans="7:12" ht="12.75">
      <c r="G44" s="4"/>
      <c r="I44" s="4"/>
      <c r="J44" s="4"/>
      <c r="K44" s="4"/>
      <c r="L44" s="4"/>
    </row>
    <row r="45" spans="7:12" ht="12.75">
      <c r="G45" s="4"/>
      <c r="I45" s="4"/>
      <c r="J45" s="4"/>
      <c r="K45" s="4"/>
      <c r="L45" s="4"/>
    </row>
    <row r="46" spans="7:12" ht="12.75">
      <c r="G46" s="4"/>
      <c r="I46" s="4"/>
      <c r="J46" s="4"/>
      <c r="K46" s="67"/>
      <c r="L46" s="4"/>
    </row>
    <row r="47" spans="1:12" ht="12.75">
      <c r="A47" s="3"/>
      <c r="G47" s="4"/>
      <c r="I47" s="4"/>
      <c r="J47" s="4"/>
      <c r="K47" s="4"/>
      <c r="L47" s="4"/>
    </row>
    <row r="48" spans="1:12" ht="12.75">
      <c r="A48" s="3"/>
      <c r="G48" s="4"/>
      <c r="I48" s="4"/>
      <c r="J48" s="4"/>
      <c r="K48" s="4"/>
      <c r="L48" s="4"/>
    </row>
    <row r="49" spans="1:15" ht="12.75">
      <c r="A49" s="3"/>
      <c r="B49" s="3"/>
      <c r="G49" s="4"/>
      <c r="I49" s="4"/>
      <c r="J49" s="4"/>
      <c r="K49" s="4"/>
      <c r="L49" s="4"/>
      <c r="O49" s="5"/>
    </row>
    <row r="50" spans="7:12" ht="12.75">
      <c r="G50" s="4"/>
      <c r="I50" s="4"/>
      <c r="J50" s="4"/>
      <c r="K50" s="4"/>
      <c r="L50" s="4"/>
    </row>
    <row r="51" spans="7:12" ht="12.75">
      <c r="G51" s="4"/>
      <c r="I51" s="4"/>
      <c r="J51" s="4"/>
      <c r="K51" s="4"/>
      <c r="L51" s="4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 t="s">
        <v>18</v>
      </c>
      <c r="K56" s="4"/>
      <c r="L56" s="4"/>
    </row>
    <row r="57" spans="7:12" ht="12.75">
      <c r="G57" s="4"/>
      <c r="I57" s="4"/>
      <c r="J57" s="4"/>
      <c r="K57" s="4"/>
      <c r="L57" s="4"/>
    </row>
    <row r="58" spans="7:12" ht="12.75">
      <c r="G58" s="4"/>
      <c r="I58" s="4"/>
      <c r="J58" s="4"/>
      <c r="K58" s="4"/>
      <c r="L58" s="4"/>
    </row>
    <row r="59" spans="4:12" ht="12.75">
      <c r="D59" s="29"/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7:12" ht="12.75">
      <c r="G62" s="4"/>
      <c r="I62" s="4"/>
      <c r="J62" s="4"/>
      <c r="K62" s="4"/>
      <c r="L62" s="4"/>
    </row>
  </sheetData>
  <sheetProtection/>
  <printOptions/>
  <pageMargins left="0.7" right="0.7" top="0.75" bottom="0.75" header="0.3" footer="0.3"/>
  <pageSetup orientation="landscape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62"/>
  <sheetViews>
    <sheetView zoomScalePageLayoutView="0" workbookViewId="0" topLeftCell="A1">
      <selection activeCell="O2" sqref="O2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19" max="19" width="11.140625" style="0" bestFit="1" customWidth="1"/>
    <col min="21" max="21" width="12.28125" style="0" hidden="1" customWidth="1"/>
    <col min="22" max="24" width="0" style="0" hidden="1" customWidth="1"/>
  </cols>
  <sheetData>
    <row r="1" s="1" customFormat="1" ht="18">
      <c r="D1" s="2" t="s">
        <v>0</v>
      </c>
    </row>
    <row r="2" spans="1:19" ht="15">
      <c r="A2" s="3"/>
      <c r="B2" s="3"/>
      <c r="D2" s="6" t="s">
        <v>56</v>
      </c>
      <c r="O2" s="20">
        <v>42978</v>
      </c>
      <c r="R2" s="68"/>
      <c r="S2" s="68"/>
    </row>
    <row r="3" spans="1:19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68"/>
      <c r="S3" s="68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61</v>
      </c>
      <c r="J5" s="23"/>
      <c r="K5" s="23" t="s">
        <v>54</v>
      </c>
      <c r="L5" s="23"/>
      <c r="M5" s="26" t="s">
        <v>27</v>
      </c>
      <c r="O5" s="23" t="s">
        <v>61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184027.87+22773.02+3170</f>
        <v>209970.88999999998</v>
      </c>
      <c r="J8" s="4"/>
      <c r="K8" s="4">
        <f>188763.96+17818.1+4450</f>
        <v>211032.06</v>
      </c>
      <c r="L8" s="4"/>
      <c r="M8" s="4">
        <f aca="true" t="shared" si="0" ref="M8:M14">SUM(I8-K8)</f>
        <v>-1061.1700000000128</v>
      </c>
      <c r="O8" s="4">
        <f>189293.45+16021.93+4682.38</f>
        <v>209997.76</v>
      </c>
      <c r="Q8" s="4">
        <f aca="true" t="shared" si="1" ref="Q8:Q14">SUM(I8-O8)</f>
        <v>-26.870000000024447</v>
      </c>
      <c r="S8" s="4"/>
      <c r="U8" s="65"/>
      <c r="X8" s="4"/>
    </row>
    <row r="9" spans="4:24" ht="12.75">
      <c r="D9" t="s">
        <v>2</v>
      </c>
      <c r="G9" s="4"/>
      <c r="I9" s="4">
        <v>-2862.59</v>
      </c>
      <c r="J9" s="4"/>
      <c r="K9" s="4">
        <v>15098.32</v>
      </c>
      <c r="L9" s="4"/>
      <c r="M9" s="4">
        <f t="shared" si="0"/>
        <v>-17960.91</v>
      </c>
      <c r="O9" s="4">
        <v>13925.8</v>
      </c>
      <c r="Q9" s="4">
        <f t="shared" si="1"/>
        <v>-16788.39</v>
      </c>
      <c r="S9" s="4"/>
      <c r="U9" s="65"/>
      <c r="X9" s="4"/>
    </row>
    <row r="10" spans="4:24" ht="12.75">
      <c r="D10" t="s">
        <v>3</v>
      </c>
      <c r="G10" s="4"/>
      <c r="I10" s="4">
        <v>27043.51</v>
      </c>
      <c r="J10" s="4"/>
      <c r="K10" s="4">
        <v>53139.83</v>
      </c>
      <c r="L10" s="4"/>
      <c r="M10" s="4">
        <f t="shared" si="0"/>
        <v>-26096.320000000003</v>
      </c>
      <c r="O10" s="4">
        <v>41261.3</v>
      </c>
      <c r="Q10" s="4">
        <f t="shared" si="1"/>
        <v>-14217.790000000005</v>
      </c>
      <c r="S10" s="4"/>
      <c r="U10" s="65"/>
      <c r="X10" s="4"/>
    </row>
    <row r="11" spans="4:24" ht="12.75">
      <c r="D11" t="s">
        <v>31</v>
      </c>
      <c r="G11" s="4"/>
      <c r="I11" s="4">
        <f>409.82+12000</f>
        <v>12409.82</v>
      </c>
      <c r="J11" s="4"/>
      <c r="K11" s="4">
        <f>352.69+5275.19</f>
        <v>5627.879999999999</v>
      </c>
      <c r="L11" s="4"/>
      <c r="M11" s="4">
        <f t="shared" si="0"/>
        <v>6781.9400000000005</v>
      </c>
      <c r="O11" s="4">
        <f>279.13+407.3</f>
        <v>686.4300000000001</v>
      </c>
      <c r="Q11" s="4">
        <f t="shared" si="1"/>
        <v>11723.39</v>
      </c>
      <c r="S11" s="4"/>
      <c r="U11" s="65"/>
      <c r="X11" s="4"/>
    </row>
    <row r="12" spans="4:24" ht="12.75">
      <c r="D12" t="s">
        <v>30</v>
      </c>
      <c r="G12" s="4"/>
      <c r="I12" s="4">
        <v>51.56</v>
      </c>
      <c r="J12" s="4"/>
      <c r="K12" s="4">
        <v>24.97</v>
      </c>
      <c r="L12" s="4"/>
      <c r="M12" s="4">
        <f t="shared" si="0"/>
        <v>26.590000000000003</v>
      </c>
      <c r="O12" s="4">
        <v>27.5</v>
      </c>
      <c r="Q12" s="4">
        <f t="shared" si="1"/>
        <v>24.060000000000002</v>
      </c>
      <c r="S12" s="4"/>
      <c r="U12" s="65"/>
      <c r="X12" s="4"/>
    </row>
    <row r="13" spans="4:24" ht="12.75">
      <c r="D13" t="s">
        <v>29</v>
      </c>
      <c r="G13" s="4"/>
      <c r="I13" s="4">
        <v>0</v>
      </c>
      <c r="J13" s="4"/>
      <c r="K13" s="4">
        <v>0</v>
      </c>
      <c r="L13" s="4"/>
      <c r="M13" s="4">
        <f t="shared" si="0"/>
        <v>0</v>
      </c>
      <c r="O13" s="4">
        <v>0</v>
      </c>
      <c r="Q13" s="4">
        <f t="shared" si="1"/>
        <v>0</v>
      </c>
      <c r="S13" s="4"/>
      <c r="U13" s="65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U14" s="65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246613.19</v>
      </c>
      <c r="J16" s="5"/>
      <c r="K16" s="5">
        <f>SUM(K8:K14)</f>
        <v>284923.06</v>
      </c>
      <c r="L16" s="5"/>
      <c r="M16" s="5">
        <f>SUM(M8:M14)</f>
        <v>-38309.87000000002</v>
      </c>
      <c r="N16" s="5"/>
      <c r="O16" s="5">
        <f>SUM(O8:O14)</f>
        <v>265898.79</v>
      </c>
      <c r="Q16" s="5">
        <f>SUM(Q8:Q14)</f>
        <v>-19285.600000000028</v>
      </c>
      <c r="S16" s="5"/>
      <c r="U16" s="5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58" customFormat="1" ht="12.75">
      <c r="B19" s="59" t="s">
        <v>34</v>
      </c>
      <c r="C19" s="60"/>
      <c r="G19" s="61"/>
      <c r="I19" s="61">
        <f>I16</f>
        <v>246613.19</v>
      </c>
      <c r="J19" s="61"/>
      <c r="K19" s="61">
        <f>K16</f>
        <v>284923.06</v>
      </c>
      <c r="L19" s="61"/>
      <c r="M19" s="61">
        <f>M16</f>
        <v>-38309.87000000002</v>
      </c>
      <c r="O19" s="61">
        <f>O16</f>
        <v>265898.79</v>
      </c>
      <c r="Q19" s="62">
        <f>SUM(I19-O19)</f>
        <v>-19285.599999999977</v>
      </c>
      <c r="S19" s="61"/>
      <c r="U19" s="61"/>
      <c r="X19" s="61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30106.66</v>
      </c>
      <c r="J23" s="4"/>
      <c r="K23" s="4">
        <v>30503.26</v>
      </c>
      <c r="L23" s="4"/>
      <c r="M23" s="4">
        <f aca="true" t="shared" si="2" ref="M23:M29">SUM(K23-I23)</f>
        <v>396.59999999999854</v>
      </c>
      <c r="O23" s="4">
        <v>33536.97</v>
      </c>
      <c r="Q23" s="4">
        <f aca="true" t="shared" si="3" ref="Q23:Q29">SUM(O23-I23)</f>
        <v>3430.3100000000013</v>
      </c>
      <c r="S23" s="4"/>
      <c r="U23" s="65"/>
      <c r="X23" s="4"/>
    </row>
    <row r="24" spans="3:24" ht="12.75">
      <c r="C24" t="s">
        <v>9</v>
      </c>
      <c r="G24" s="4"/>
      <c r="I24" s="4">
        <f>12620.6+87105.3+6901.68+4646.66</f>
        <v>111274.24000000002</v>
      </c>
      <c r="J24" s="4"/>
      <c r="K24" s="4">
        <f>6689.64+71541.8+6789.8+3206.24</f>
        <v>88227.48000000001</v>
      </c>
      <c r="L24" s="4"/>
      <c r="M24" s="4">
        <f t="shared" si="2"/>
        <v>-23046.76000000001</v>
      </c>
      <c r="O24" s="4">
        <f>9152.26+73306.48+7129.29+15096.34</f>
        <v>104684.36999999998</v>
      </c>
      <c r="Q24" s="4">
        <f t="shared" si="3"/>
        <v>-6589.870000000039</v>
      </c>
      <c r="S24" s="4"/>
      <c r="U24" s="65"/>
      <c r="X24" s="4"/>
    </row>
    <row r="25" spans="3:24" ht="12.75">
      <c r="C25" s="3" t="s">
        <v>12</v>
      </c>
      <c r="G25" s="4"/>
      <c r="I25" s="4">
        <v>26848.07</v>
      </c>
      <c r="J25" s="4"/>
      <c r="K25" s="4">
        <v>22729.56</v>
      </c>
      <c r="L25" s="4"/>
      <c r="M25" s="4">
        <f t="shared" si="2"/>
        <v>-4118.509999999998</v>
      </c>
      <c r="O25" s="4">
        <v>24562.21</v>
      </c>
      <c r="Q25" s="4">
        <f t="shared" si="3"/>
        <v>-2285.8600000000006</v>
      </c>
      <c r="S25" s="4"/>
      <c r="U25" s="65"/>
      <c r="X25" s="4"/>
    </row>
    <row r="26" spans="3:24" ht="12.75">
      <c r="C26" t="s">
        <v>33</v>
      </c>
      <c r="G26" s="4"/>
      <c r="I26" s="4">
        <f>4929.26+1931.41+1912.16+2430.63</f>
        <v>11203.46</v>
      </c>
      <c r="J26" s="4" t="s">
        <v>18</v>
      </c>
      <c r="K26" s="4">
        <f>6075.9+2934.8+1934.36+2506.86</f>
        <v>13451.920000000002</v>
      </c>
      <c r="L26" s="4"/>
      <c r="M26" s="4">
        <f t="shared" si="2"/>
        <v>2248.4600000000028</v>
      </c>
      <c r="O26" s="4">
        <f>6370.4+3646.83+1886.37+2710.8</f>
        <v>14614.399999999998</v>
      </c>
      <c r="Q26" s="4">
        <f t="shared" si="3"/>
        <v>3410.9399999999987</v>
      </c>
      <c r="S26" s="4"/>
      <c r="U26" s="65"/>
      <c r="X26" s="4"/>
    </row>
    <row r="27" spans="3:24" ht="12.75">
      <c r="C27" t="s">
        <v>10</v>
      </c>
      <c r="G27" s="4"/>
      <c r="I27" s="4">
        <v>23505.29</v>
      </c>
      <c r="J27" s="4"/>
      <c r="K27" s="4">
        <v>25038.73</v>
      </c>
      <c r="L27" s="4"/>
      <c r="M27" s="4">
        <f t="shared" si="2"/>
        <v>1533.4399999999987</v>
      </c>
      <c r="O27" s="4">
        <v>26943.91</v>
      </c>
      <c r="Q27" s="4">
        <f t="shared" si="3"/>
        <v>3438.619999999999</v>
      </c>
      <c r="S27" s="4"/>
      <c r="U27" s="65"/>
      <c r="X27" s="4"/>
    </row>
    <row r="28" spans="3:24" ht="12.75">
      <c r="C28" t="s">
        <v>11</v>
      </c>
      <c r="G28" s="4"/>
      <c r="I28" s="4">
        <v>1536.61</v>
      </c>
      <c r="J28" s="4"/>
      <c r="K28" s="4">
        <v>1430.52</v>
      </c>
      <c r="L28" s="4"/>
      <c r="M28" s="4">
        <f t="shared" si="2"/>
        <v>-106.08999999999992</v>
      </c>
      <c r="O28" s="4">
        <v>1472.39</v>
      </c>
      <c r="Q28" s="4">
        <f t="shared" si="3"/>
        <v>-64.2199999999998</v>
      </c>
      <c r="S28" s="4"/>
      <c r="U28" s="65"/>
      <c r="X28" s="4"/>
    </row>
    <row r="29" spans="3:24" ht="12.75">
      <c r="C29" s="3" t="s">
        <v>40</v>
      </c>
      <c r="G29" s="4"/>
      <c r="I29" s="4">
        <f>22335.26-5036.52</f>
        <v>17298.739999999998</v>
      </c>
      <c r="J29" s="4"/>
      <c r="K29" s="4">
        <v>9939.75</v>
      </c>
      <c r="L29" s="4"/>
      <c r="M29" s="4">
        <f t="shared" si="2"/>
        <v>-7358.989999999998</v>
      </c>
      <c r="O29" s="4">
        <v>15678.87</v>
      </c>
      <c r="Q29" s="4">
        <f t="shared" si="3"/>
        <v>-1619.8699999999972</v>
      </c>
      <c r="S29" s="4"/>
      <c r="U29" s="65"/>
      <c r="X29" s="4"/>
    </row>
    <row r="30" spans="3:24" ht="12.75">
      <c r="C30" s="47" t="s">
        <v>41</v>
      </c>
      <c r="G30" s="4"/>
      <c r="I30" s="4">
        <v>12304.14</v>
      </c>
      <c r="J30" s="4"/>
      <c r="K30" s="4">
        <v>15675.25</v>
      </c>
      <c r="L30" s="4"/>
      <c r="M30" s="4">
        <f>SUM(K30-I30)</f>
        <v>3371.1100000000006</v>
      </c>
      <c r="O30" s="4">
        <v>20665.93</v>
      </c>
      <c r="Q30" s="4">
        <f>SUM(O30-I30)</f>
        <v>8361.79</v>
      </c>
      <c r="S30" s="4"/>
      <c r="U30" s="65"/>
      <c r="X30" s="4"/>
    </row>
    <row r="31" spans="3:24" ht="12.75">
      <c r="C31" t="s">
        <v>17</v>
      </c>
      <c r="G31" s="4"/>
      <c r="I31" s="4">
        <v>-35</v>
      </c>
      <c r="J31" s="4"/>
      <c r="K31" s="4">
        <v>0</v>
      </c>
      <c r="L31" s="4"/>
      <c r="M31" s="4">
        <f>SUM(K31-I31)</f>
        <v>35</v>
      </c>
      <c r="O31" s="4">
        <v>0</v>
      </c>
      <c r="Q31" s="4">
        <f>SUM(O31-I31)</f>
        <v>35</v>
      </c>
      <c r="S31" s="4"/>
      <c r="U31" s="65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0</v>
      </c>
      <c r="L32" s="39"/>
      <c r="M32" s="4">
        <f>SUM(K32-I32)</f>
        <v>0</v>
      </c>
      <c r="N32" s="42"/>
      <c r="O32" s="39">
        <v>0</v>
      </c>
      <c r="P32" s="42"/>
      <c r="Q32" s="4">
        <f>SUM(O32-I32)</f>
        <v>0</v>
      </c>
      <c r="S32" s="4"/>
      <c r="U32" s="65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U33" s="65"/>
      <c r="X33" s="4"/>
    </row>
    <row r="34" spans="3:24" ht="12.75">
      <c r="C34" s="3" t="s">
        <v>15</v>
      </c>
      <c r="G34" s="5"/>
      <c r="I34" s="5">
        <f>SUM(I23:I32)</f>
        <v>234042.21000000002</v>
      </c>
      <c r="J34" s="5"/>
      <c r="K34" s="5">
        <f>SUM(K23:K32)</f>
        <v>206996.47000000003</v>
      </c>
      <c r="L34" s="5"/>
      <c r="M34" s="5">
        <f>SUM(M23:M32)</f>
        <v>-27045.740000000005</v>
      </c>
      <c r="N34" s="4"/>
      <c r="O34" s="5">
        <f>SUM(O23:O32)</f>
        <v>242159.04999999996</v>
      </c>
      <c r="Q34" s="5">
        <f>SUM(Q23:Q32)</f>
        <v>8116.839999999964</v>
      </c>
      <c r="R34" s="4"/>
      <c r="S34" s="5"/>
      <c r="T34" s="3"/>
      <c r="U34" s="5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T35" s="3"/>
      <c r="U35" s="65"/>
      <c r="V35" s="5">
        <f>88088+22931.73+41000-237790.53-41000-22844.36</f>
        <v>-149615.16000000003</v>
      </c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U36" s="65"/>
      <c r="X36" s="4"/>
    </row>
    <row r="37" spans="3:24" ht="12.75">
      <c r="C37" s="29" t="s">
        <v>28</v>
      </c>
      <c r="G37" s="4"/>
      <c r="I37" s="4">
        <v>0</v>
      </c>
      <c r="J37" s="4"/>
      <c r="K37" s="4">
        <v>0</v>
      </c>
      <c r="L37" s="4"/>
      <c r="M37" s="4">
        <f>SUM(K37-I37)</f>
        <v>0</v>
      </c>
      <c r="O37" s="4">
        <v>0</v>
      </c>
      <c r="Q37" s="4">
        <f>SUM(O37-I37)</f>
        <v>0</v>
      </c>
      <c r="S37" s="4"/>
      <c r="U37" s="65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U38" s="65"/>
      <c r="V38" s="4">
        <f>860980.59-237486.54-68321.5</f>
        <v>555172.5499999999</v>
      </c>
      <c r="W38" s="12"/>
      <c r="X38" s="4"/>
    </row>
    <row r="39" spans="3:24" s="8" customFormat="1" ht="12.75">
      <c r="C39" s="9" t="s">
        <v>16</v>
      </c>
      <c r="G39" s="10"/>
      <c r="I39" s="10">
        <f>SUM(I37:I37)</f>
        <v>0</v>
      </c>
      <c r="J39" s="10"/>
      <c r="K39" s="10">
        <f>SUM(K37:K37)</f>
        <v>0</v>
      </c>
      <c r="L39" s="10"/>
      <c r="M39" s="4">
        <f>SUM(K39-I39)</f>
        <v>0</v>
      </c>
      <c r="N39" s="10"/>
      <c r="O39" s="10">
        <f>SUM(O37:O37)</f>
        <v>0</v>
      </c>
      <c r="Q39" s="4">
        <f>SUM(O39-I39)</f>
        <v>0</v>
      </c>
      <c r="U39" s="10"/>
      <c r="V39" s="10">
        <f>22932-22844</f>
        <v>88</v>
      </c>
      <c r="W39" s="35"/>
      <c r="X39" s="9">
        <f>16991-17079</f>
        <v>-88</v>
      </c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U40" s="66"/>
      <c r="X40" s="10"/>
    </row>
    <row r="41" spans="2:24" s="58" customFormat="1" ht="12.75">
      <c r="B41" s="63" t="s">
        <v>36</v>
      </c>
      <c r="G41" s="61"/>
      <c r="I41" s="61">
        <f>I34+I39</f>
        <v>234042.21000000002</v>
      </c>
      <c r="J41" s="61"/>
      <c r="K41" s="61">
        <f>K34+K39</f>
        <v>206996.47000000003</v>
      </c>
      <c r="L41" s="61"/>
      <c r="M41" s="61">
        <f>M34+M39</f>
        <v>-27045.740000000005</v>
      </c>
      <c r="O41" s="61">
        <f>O34+O39</f>
        <v>242159.04999999996</v>
      </c>
      <c r="Q41" s="61">
        <f>Q34+Q39</f>
        <v>8116.839999999964</v>
      </c>
      <c r="R41" s="64"/>
      <c r="S41" s="61"/>
      <c r="U41" s="61"/>
      <c r="X41" s="61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21" s="58" customFormat="1" ht="12.75">
      <c r="A43" s="63" t="s">
        <v>22</v>
      </c>
      <c r="G43" s="62"/>
      <c r="I43" s="62">
        <f>I19-I41</f>
        <v>12570.979999999981</v>
      </c>
      <c r="J43" s="62"/>
      <c r="K43" s="62">
        <f>K19-K41</f>
        <v>77926.58999999997</v>
      </c>
      <c r="L43" s="62"/>
      <c r="M43" s="62">
        <f>SUM(M41+M19)</f>
        <v>-65355.61000000002</v>
      </c>
      <c r="O43" s="62">
        <f>O19-O41</f>
        <v>23739.74000000002</v>
      </c>
      <c r="Q43" s="62">
        <f>Q19+Q41</f>
        <v>-11168.760000000013</v>
      </c>
      <c r="S43" s="62"/>
      <c r="U43" s="62"/>
    </row>
    <row r="44" spans="7:12" ht="12.75">
      <c r="G44" s="4"/>
      <c r="I44" s="4"/>
      <c r="J44" s="4"/>
      <c r="K44" s="4"/>
      <c r="L44" s="4"/>
    </row>
    <row r="45" spans="7:12" ht="12.75">
      <c r="G45" s="4"/>
      <c r="I45" s="4"/>
      <c r="J45" s="4"/>
      <c r="K45" s="4"/>
      <c r="L45" s="4"/>
    </row>
    <row r="46" spans="1:12" ht="12.75">
      <c r="A46" t="s">
        <v>62</v>
      </c>
      <c r="G46" s="4"/>
      <c r="I46" s="4">
        <v>112156</v>
      </c>
      <c r="J46" s="4"/>
      <c r="K46" s="67"/>
      <c r="L46" s="4"/>
    </row>
    <row r="47" spans="1:12" ht="12.75">
      <c r="A47" s="3"/>
      <c r="G47" s="4"/>
      <c r="I47" s="4"/>
      <c r="J47" s="4"/>
      <c r="K47" s="4"/>
      <c r="L47" s="4"/>
    </row>
    <row r="48" spans="1:12" ht="12.75">
      <c r="A48" s="3"/>
      <c r="G48" s="4"/>
      <c r="I48" s="4"/>
      <c r="J48" s="4"/>
      <c r="K48" s="4"/>
      <c r="L48" s="4"/>
    </row>
    <row r="49" spans="1:15" ht="12.75">
      <c r="A49" s="3"/>
      <c r="B49" s="3"/>
      <c r="G49" s="4"/>
      <c r="I49" s="4"/>
      <c r="J49" s="4"/>
      <c r="K49" s="4"/>
      <c r="L49" s="4"/>
      <c r="O49" s="5"/>
    </row>
    <row r="50" spans="7:12" ht="12.75">
      <c r="G50" s="4"/>
      <c r="I50" s="4"/>
      <c r="J50" s="4"/>
      <c r="K50" s="4"/>
      <c r="L50" s="4"/>
    </row>
    <row r="51" spans="7:12" ht="12.75">
      <c r="G51" s="4"/>
      <c r="I51" s="4"/>
      <c r="J51" s="4"/>
      <c r="K51" s="4"/>
      <c r="L51" s="4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 t="s">
        <v>18</v>
      </c>
      <c r="K56" s="4"/>
      <c r="L56" s="4"/>
    </row>
    <row r="57" spans="7:12" ht="12.75">
      <c r="G57" s="4"/>
      <c r="I57" s="4"/>
      <c r="J57" s="4"/>
      <c r="K57" s="4"/>
      <c r="L57" s="4"/>
    </row>
    <row r="58" spans="7:12" ht="12.75">
      <c r="G58" s="4"/>
      <c r="I58" s="4"/>
      <c r="J58" s="4"/>
      <c r="K58" s="4"/>
      <c r="L58" s="4"/>
    </row>
    <row r="59" spans="4:12" ht="12.75">
      <c r="D59" s="29"/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7:12" ht="12.75">
      <c r="G62" s="4"/>
      <c r="I62" s="4"/>
      <c r="J62" s="4"/>
      <c r="K62" s="4"/>
      <c r="L62" s="4"/>
    </row>
  </sheetData>
  <sheetProtection/>
  <printOptions/>
  <pageMargins left="0.7" right="0.7" top="0.75" bottom="0.75" header="0.3" footer="0.3"/>
  <pageSetup orientation="landscape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63"/>
  <sheetViews>
    <sheetView zoomScalePageLayoutView="0" workbookViewId="0" topLeftCell="A22">
      <selection activeCell="I52" sqref="I52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19" max="19" width="11.140625" style="0" bestFit="1" customWidth="1"/>
    <col min="21" max="21" width="12.28125" style="0" hidden="1" customWidth="1"/>
    <col min="22" max="24" width="0" style="0" hidden="1" customWidth="1"/>
  </cols>
  <sheetData>
    <row r="1" s="1" customFormat="1" ht="18">
      <c r="D1" s="2" t="s">
        <v>0</v>
      </c>
    </row>
    <row r="2" spans="1:19" ht="15">
      <c r="A2" s="3"/>
      <c r="B2" s="3"/>
      <c r="D2" s="6" t="s">
        <v>56</v>
      </c>
      <c r="O2" s="20">
        <v>43100</v>
      </c>
      <c r="R2" s="68"/>
      <c r="S2" s="68"/>
    </row>
    <row r="3" spans="1:19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68"/>
      <c r="S3" s="68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64</v>
      </c>
      <c r="J5" s="23"/>
      <c r="K5" s="23" t="s">
        <v>57</v>
      </c>
      <c r="L5" s="23"/>
      <c r="M5" s="26" t="s">
        <v>27</v>
      </c>
      <c r="O5" s="23" t="s">
        <v>64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573233.47+139967.65+7870</f>
        <v>721071.12</v>
      </c>
      <c r="J8" s="4"/>
      <c r="K8" s="4">
        <f>603212.08+121418.96+10850</f>
        <v>735481.0399999999</v>
      </c>
      <c r="L8" s="4"/>
      <c r="M8" s="4">
        <f aca="true" t="shared" si="0" ref="M8:M14">SUM(I8-K8)</f>
        <v>-14409.919999999925</v>
      </c>
      <c r="O8" s="4">
        <f>614958.02+121588.66+9302.33</f>
        <v>745849.01</v>
      </c>
      <c r="Q8" s="4">
        <f aca="true" t="shared" si="1" ref="Q8:Q14">SUM(I8-O8)</f>
        <v>-24777.890000000014</v>
      </c>
      <c r="S8" s="4"/>
      <c r="U8" s="65"/>
      <c r="X8" s="4"/>
    </row>
    <row r="9" spans="4:24" ht="12.75">
      <c r="D9" t="s">
        <v>2</v>
      </c>
      <c r="G9" s="4"/>
      <c r="I9" s="4">
        <v>-2148.42</v>
      </c>
      <c r="J9" s="4"/>
      <c r="K9" s="4">
        <v>8308.95</v>
      </c>
      <c r="L9" s="4"/>
      <c r="M9" s="4">
        <f t="shared" si="0"/>
        <v>-10457.37</v>
      </c>
      <c r="O9" s="4">
        <v>8308.32</v>
      </c>
      <c r="Q9" s="4">
        <f t="shared" si="1"/>
        <v>-10456.74</v>
      </c>
      <c r="S9" s="4"/>
      <c r="U9" s="65"/>
      <c r="X9" s="4"/>
    </row>
    <row r="10" spans="4:24" ht="12.75">
      <c r="D10" t="s">
        <v>3</v>
      </c>
      <c r="G10" s="4"/>
      <c r="I10" s="4">
        <v>69758.46</v>
      </c>
      <c r="J10" s="4"/>
      <c r="K10" s="4">
        <v>79584.33</v>
      </c>
      <c r="L10" s="4"/>
      <c r="M10" s="4">
        <f t="shared" si="0"/>
        <v>-9825.869999999995</v>
      </c>
      <c r="O10" s="4">
        <v>63235</v>
      </c>
      <c r="Q10" s="4">
        <f t="shared" si="1"/>
        <v>6523.460000000006</v>
      </c>
      <c r="S10" s="4"/>
      <c r="U10" s="65"/>
      <c r="X10" s="4"/>
    </row>
    <row r="11" spans="4:24" ht="12.75">
      <c r="D11" t="s">
        <v>31</v>
      </c>
      <c r="G11" s="4"/>
      <c r="I11" s="4">
        <f>1587.61+37486</f>
        <v>39073.61</v>
      </c>
      <c r="J11" s="4"/>
      <c r="K11" s="4">
        <f>2146.47+14070.19</f>
        <v>16216.66</v>
      </c>
      <c r="L11" s="4"/>
      <c r="M11" s="4">
        <f t="shared" si="0"/>
        <v>22856.95</v>
      </c>
      <c r="O11" s="4">
        <f>1698.78+19829.23</f>
        <v>21528.01</v>
      </c>
      <c r="Q11" s="4">
        <f t="shared" si="1"/>
        <v>17545.600000000002</v>
      </c>
      <c r="S11" s="4"/>
      <c r="U11" s="65"/>
      <c r="X11" s="4"/>
    </row>
    <row r="12" spans="4:24" ht="12.75">
      <c r="D12" t="s">
        <v>30</v>
      </c>
      <c r="G12" s="4"/>
      <c r="I12" s="4">
        <v>93.16</v>
      </c>
      <c r="J12" s="4"/>
      <c r="K12" s="4">
        <v>4067.08</v>
      </c>
      <c r="L12" s="4"/>
      <c r="M12" s="4">
        <f t="shared" si="0"/>
        <v>-3973.92</v>
      </c>
      <c r="O12" s="4">
        <v>4073.88</v>
      </c>
      <c r="Q12" s="4">
        <f t="shared" si="1"/>
        <v>-3980.7200000000003</v>
      </c>
      <c r="S12" s="4"/>
      <c r="U12" s="65"/>
      <c r="X12" s="4"/>
    </row>
    <row r="13" spans="4:24" ht="12.75">
      <c r="D13" t="s">
        <v>29</v>
      </c>
      <c r="G13" s="4"/>
      <c r="I13" s="4">
        <v>5177.63</v>
      </c>
      <c r="J13" s="4"/>
      <c r="K13" s="4">
        <v>148.75</v>
      </c>
      <c r="L13" s="4"/>
      <c r="M13" s="4">
        <f t="shared" si="0"/>
        <v>5028.88</v>
      </c>
      <c r="O13" s="4">
        <v>680.26</v>
      </c>
      <c r="Q13" s="4">
        <f t="shared" si="1"/>
        <v>4497.37</v>
      </c>
      <c r="S13" s="4"/>
      <c r="U13" s="65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U14" s="65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833025.5599999999</v>
      </c>
      <c r="J16" s="5"/>
      <c r="K16" s="5">
        <f>SUM(K8:K14)</f>
        <v>843806.8099999998</v>
      </c>
      <c r="L16" s="5"/>
      <c r="M16" s="5">
        <f>SUM(M8:M14)</f>
        <v>-10781.249999999924</v>
      </c>
      <c r="N16" s="5"/>
      <c r="O16" s="5">
        <f>SUM(O8:O14)</f>
        <v>843674.48</v>
      </c>
      <c r="Q16" s="5">
        <f>SUM(Q8:Q14)</f>
        <v>-10648.920000000006</v>
      </c>
      <c r="S16" s="5"/>
      <c r="U16" s="5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58" customFormat="1" ht="12.75">
      <c r="B19" s="59" t="s">
        <v>34</v>
      </c>
      <c r="C19" s="60"/>
      <c r="G19" s="61"/>
      <c r="I19" s="61">
        <f>I16</f>
        <v>833025.5599999999</v>
      </c>
      <c r="J19" s="61"/>
      <c r="K19" s="61">
        <f>K16</f>
        <v>843806.8099999998</v>
      </c>
      <c r="L19" s="61"/>
      <c r="M19" s="61">
        <f>M16</f>
        <v>-10781.249999999924</v>
      </c>
      <c r="O19" s="61">
        <f>O16</f>
        <v>843674.48</v>
      </c>
      <c r="Q19" s="62">
        <f>SUM(I19-O19)</f>
        <v>-10648.920000000042</v>
      </c>
      <c r="S19" s="61"/>
      <c r="U19" s="61"/>
      <c r="X19" s="61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90319.98</v>
      </c>
      <c r="J23" s="4"/>
      <c r="K23" s="4">
        <v>79600.28</v>
      </c>
      <c r="L23" s="4"/>
      <c r="M23" s="4">
        <f aca="true" t="shared" si="2" ref="M23:M29">SUM(K23-I23)</f>
        <v>-10719.699999999997</v>
      </c>
      <c r="O23" s="4">
        <v>91881.77</v>
      </c>
      <c r="Q23" s="4">
        <f aca="true" t="shared" si="3" ref="Q23:Q29">SUM(O23-I23)</f>
        <v>1561.7900000000081</v>
      </c>
      <c r="S23" s="4"/>
      <c r="U23" s="65"/>
      <c r="X23" s="4"/>
    </row>
    <row r="24" spans="3:24" ht="12.75">
      <c r="C24" t="s">
        <v>9</v>
      </c>
      <c r="G24" s="4"/>
      <c r="I24" s="4">
        <f>36973.4+223956.77+20705.04+20443.69</f>
        <v>302078.89999999997</v>
      </c>
      <c r="J24" s="4"/>
      <c r="K24" s="4">
        <f>32808.66+234623.43+20369.4+22999</f>
        <v>310800.49</v>
      </c>
      <c r="L24" s="4"/>
      <c r="M24" s="4">
        <f t="shared" si="2"/>
        <v>8721.590000000026</v>
      </c>
      <c r="O24" s="4">
        <f>39644.55+240369.92+21387.86+29368.29</f>
        <v>330770.62</v>
      </c>
      <c r="Q24" s="4">
        <f t="shared" si="3"/>
        <v>28691.72000000003</v>
      </c>
      <c r="S24" s="4"/>
      <c r="U24" s="65"/>
      <c r="X24" s="4"/>
    </row>
    <row r="25" spans="3:24" ht="12.75">
      <c r="C25" s="3" t="s">
        <v>12</v>
      </c>
      <c r="G25" s="4"/>
      <c r="I25" s="4">
        <v>80008.97</v>
      </c>
      <c r="J25" s="4"/>
      <c r="K25" s="4">
        <v>69550.67</v>
      </c>
      <c r="L25" s="4"/>
      <c r="M25" s="4">
        <f t="shared" si="2"/>
        <v>-10458.300000000003</v>
      </c>
      <c r="O25" s="4">
        <v>74324.52</v>
      </c>
      <c r="Q25" s="4">
        <f t="shared" si="3"/>
        <v>-5684.449999999997</v>
      </c>
      <c r="S25" s="4"/>
      <c r="U25" s="65"/>
      <c r="X25" s="4"/>
    </row>
    <row r="26" spans="3:24" ht="12.75">
      <c r="C26" t="s">
        <v>33</v>
      </c>
      <c r="G26" s="4"/>
      <c r="I26" s="4">
        <f>11635.64+20321.2+4709.9+17338.16</f>
        <v>54004.899999999994</v>
      </c>
      <c r="J26" s="4" t="s">
        <v>18</v>
      </c>
      <c r="K26" s="4">
        <f>16198.13+11997.44+5067.29+21110.03</f>
        <v>54372.89</v>
      </c>
      <c r="L26" s="4"/>
      <c r="M26" s="4">
        <f t="shared" si="2"/>
        <v>367.99000000000524</v>
      </c>
      <c r="O26" s="4">
        <f>17866.45+18874.35+5142.5+12357.94</f>
        <v>54241.240000000005</v>
      </c>
      <c r="Q26" s="4">
        <f t="shared" si="3"/>
        <v>236.34000000001106</v>
      </c>
      <c r="S26" s="4"/>
      <c r="U26" s="65"/>
      <c r="X26" s="4"/>
    </row>
    <row r="27" spans="3:24" ht="12.75">
      <c r="C27" t="s">
        <v>10</v>
      </c>
      <c r="G27" s="4"/>
      <c r="I27" s="4">
        <v>49602.21</v>
      </c>
      <c r="J27" s="4"/>
      <c r="K27" s="4">
        <v>50580.56</v>
      </c>
      <c r="L27" s="4"/>
      <c r="M27" s="4">
        <f t="shared" si="2"/>
        <v>978.3499999999985</v>
      </c>
      <c r="O27" s="4">
        <v>48525.73</v>
      </c>
      <c r="Q27" s="4">
        <f t="shared" si="3"/>
        <v>-1076.479999999996</v>
      </c>
      <c r="S27" s="4"/>
      <c r="U27" s="65"/>
      <c r="X27" s="4"/>
    </row>
    <row r="28" spans="3:24" ht="12.75">
      <c r="C28" t="s">
        <v>11</v>
      </c>
      <c r="G28" s="4"/>
      <c r="I28" s="4">
        <v>7975.12</v>
      </c>
      <c r="J28" s="4"/>
      <c r="K28" s="4">
        <v>8267.6</v>
      </c>
      <c r="L28" s="4"/>
      <c r="M28" s="4">
        <f t="shared" si="2"/>
        <v>292.4800000000005</v>
      </c>
      <c r="O28" s="4">
        <v>8868.12</v>
      </c>
      <c r="Q28" s="4">
        <f t="shared" si="3"/>
        <v>893.0000000000009</v>
      </c>
      <c r="S28" s="4"/>
      <c r="U28" s="65"/>
      <c r="X28" s="4"/>
    </row>
    <row r="29" spans="3:24" ht="12.75">
      <c r="C29" s="3" t="s">
        <v>40</v>
      </c>
      <c r="G29" s="4"/>
      <c r="I29" s="4">
        <v>73515.24</v>
      </c>
      <c r="J29" s="4"/>
      <c r="K29" s="4">
        <v>41901.87</v>
      </c>
      <c r="L29" s="4"/>
      <c r="M29" s="4">
        <f t="shared" si="2"/>
        <v>-31613.370000000003</v>
      </c>
      <c r="O29" s="4">
        <v>58573.24</v>
      </c>
      <c r="Q29" s="4">
        <f t="shared" si="3"/>
        <v>-14942.000000000007</v>
      </c>
      <c r="S29" s="4"/>
      <c r="U29" s="65"/>
      <c r="X29" s="4"/>
    </row>
    <row r="30" spans="3:24" ht="12.75">
      <c r="C30" s="47" t="s">
        <v>41</v>
      </c>
      <c r="G30" s="4"/>
      <c r="I30" s="4">
        <v>32257.67</v>
      </c>
      <c r="J30" s="4"/>
      <c r="K30" s="4">
        <v>41509.93</v>
      </c>
      <c r="L30" s="4"/>
      <c r="M30" s="4">
        <f>SUM(K30-I30)</f>
        <v>9252.260000000002</v>
      </c>
      <c r="O30" s="4">
        <v>55461.39</v>
      </c>
      <c r="Q30" s="4">
        <f>SUM(O30-I30)</f>
        <v>23203.72</v>
      </c>
      <c r="S30" s="4"/>
      <c r="U30" s="65"/>
      <c r="X30" s="4"/>
    </row>
    <row r="31" spans="3:24" ht="12.75">
      <c r="C31" t="s">
        <v>17</v>
      </c>
      <c r="G31" s="4"/>
      <c r="I31" s="4"/>
      <c r="J31" s="4"/>
      <c r="K31" s="4">
        <v>0</v>
      </c>
      <c r="L31" s="4"/>
      <c r="M31" s="4">
        <f>SUM(K31-I31)</f>
        <v>0</v>
      </c>
      <c r="O31" s="4">
        <v>0</v>
      </c>
      <c r="Q31" s="4">
        <f>SUM(O31-I31)</f>
        <v>0</v>
      </c>
      <c r="S31" s="4"/>
      <c r="U31" s="65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0</v>
      </c>
      <c r="L32" s="39"/>
      <c r="M32" s="4">
        <f>SUM(K32-I32)</f>
        <v>0</v>
      </c>
      <c r="N32" s="42"/>
      <c r="O32" s="39">
        <v>0</v>
      </c>
      <c r="P32" s="42"/>
      <c r="Q32" s="4">
        <f>SUM(O32-I32)</f>
        <v>0</v>
      </c>
      <c r="S32" s="4"/>
      <c r="U32" s="65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U33" s="65"/>
      <c r="X33" s="4"/>
    </row>
    <row r="34" spans="3:24" ht="12.75">
      <c r="C34" s="3" t="s">
        <v>15</v>
      </c>
      <c r="G34" s="5"/>
      <c r="I34" s="5">
        <f>SUM(I23:I32)</f>
        <v>689762.99</v>
      </c>
      <c r="J34" s="5"/>
      <c r="K34" s="5">
        <f>SUM(K23:K32)</f>
        <v>656584.29</v>
      </c>
      <c r="L34" s="5"/>
      <c r="M34" s="5">
        <f>SUM(M23:M32)</f>
        <v>-33178.699999999975</v>
      </c>
      <c r="N34" s="4"/>
      <c r="O34" s="5">
        <f>SUM(O23:O32)</f>
        <v>722646.63</v>
      </c>
      <c r="Q34" s="5">
        <f>SUM(Q23:Q32)</f>
        <v>32883.64000000005</v>
      </c>
      <c r="R34" s="4"/>
      <c r="S34" s="5"/>
      <c r="T34" s="3"/>
      <c r="U34" s="5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T35" s="3"/>
      <c r="U35" s="65"/>
      <c r="V35" s="5">
        <f>88088+22931.73+41000-237790.53-41000-22844.36</f>
        <v>-149615.16000000003</v>
      </c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U36" s="65"/>
      <c r="X36" s="4"/>
    </row>
    <row r="37" spans="3:24" ht="12.75">
      <c r="C37" s="29" t="s">
        <v>28</v>
      </c>
      <c r="G37" s="4"/>
      <c r="I37" s="4">
        <v>68387.5</v>
      </c>
      <c r="J37" s="4"/>
      <c r="K37" s="4">
        <v>35075</v>
      </c>
      <c r="L37" s="4"/>
      <c r="M37" s="4">
        <f>SUM(K37-I37)</f>
        <v>-33312.5</v>
      </c>
      <c r="O37" s="4">
        <v>68066.32</v>
      </c>
      <c r="Q37" s="4">
        <f>SUM(O37-I37)</f>
        <v>-321.179999999993</v>
      </c>
      <c r="S37" s="4"/>
      <c r="U37" s="65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U38" s="65"/>
      <c r="V38" s="4">
        <f>860980.59-237486.54-68321.5</f>
        <v>555172.5499999999</v>
      </c>
      <c r="W38" s="12"/>
      <c r="X38" s="4"/>
    </row>
    <row r="39" spans="3:24" s="8" customFormat="1" ht="12.75">
      <c r="C39" s="9" t="s">
        <v>16</v>
      </c>
      <c r="G39" s="10"/>
      <c r="I39" s="10">
        <f>SUM(I37:I37)</f>
        <v>68387.5</v>
      </c>
      <c r="J39" s="10"/>
      <c r="K39" s="10">
        <v>69783.33</v>
      </c>
      <c r="L39" s="10"/>
      <c r="M39" s="4">
        <f>SUM(K39-I39)</f>
        <v>1395.8300000000017</v>
      </c>
      <c r="N39" s="10"/>
      <c r="O39" s="10">
        <f>SUM(O37:O37)</f>
        <v>68066.32</v>
      </c>
      <c r="Q39" s="4">
        <f>SUM(O39-I39)</f>
        <v>-321.179999999993</v>
      </c>
      <c r="U39" s="10"/>
      <c r="V39" s="10">
        <f>22932-22844</f>
        <v>88</v>
      </c>
      <c r="W39" s="35"/>
      <c r="X39" s="9">
        <f>16991-17079</f>
        <v>-88</v>
      </c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U40" s="66"/>
      <c r="X40" s="10"/>
    </row>
    <row r="41" spans="2:24" s="58" customFormat="1" ht="12.75">
      <c r="B41" s="63" t="s">
        <v>36</v>
      </c>
      <c r="G41" s="61"/>
      <c r="I41" s="61">
        <f>I34+I39</f>
        <v>758150.49</v>
      </c>
      <c r="J41" s="61"/>
      <c r="K41" s="61">
        <f>K34+K39</f>
        <v>726367.62</v>
      </c>
      <c r="L41" s="61"/>
      <c r="M41" s="61">
        <f>M34+M39</f>
        <v>-31782.869999999974</v>
      </c>
      <c r="O41" s="61">
        <f>O34+O39</f>
        <v>790712.95</v>
      </c>
      <c r="Q41" s="61">
        <f>Q34+Q39</f>
        <v>32562.460000000057</v>
      </c>
      <c r="R41" s="64"/>
      <c r="S41" s="61"/>
      <c r="U41" s="61"/>
      <c r="X41" s="61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21" s="58" customFormat="1" ht="12.75">
      <c r="A43" s="63" t="s">
        <v>22</v>
      </c>
      <c r="G43" s="62"/>
      <c r="I43" s="62">
        <f>I19-I41</f>
        <v>74875.06999999995</v>
      </c>
      <c r="J43" s="62"/>
      <c r="K43" s="62">
        <f>K19-K41</f>
        <v>117439.18999999983</v>
      </c>
      <c r="L43" s="62"/>
      <c r="M43" s="62">
        <f>SUM(M41+M19)</f>
        <v>-42564.11999999989</v>
      </c>
      <c r="O43" s="62">
        <f>O19-O41</f>
        <v>52961.53000000003</v>
      </c>
      <c r="Q43" s="62">
        <f>Q19+Q41</f>
        <v>21913.540000000015</v>
      </c>
      <c r="S43" s="62"/>
      <c r="U43" s="62"/>
    </row>
    <row r="44" spans="7:12" ht="12.75">
      <c r="G44" s="4"/>
      <c r="I44" s="4"/>
      <c r="J44" s="4"/>
      <c r="K44" s="4"/>
      <c r="L44" s="4"/>
    </row>
    <row r="45" spans="7:12" ht="12.75">
      <c r="G45" s="4"/>
      <c r="I45" s="74" t="s">
        <v>74</v>
      </c>
      <c r="J45" s="4"/>
      <c r="K45" s="4"/>
      <c r="L45" s="4"/>
    </row>
    <row r="46" spans="1:15" ht="12.75">
      <c r="A46" t="s">
        <v>65</v>
      </c>
      <c r="G46" s="4"/>
      <c r="I46" s="4">
        <v>163228.15</v>
      </c>
      <c r="J46" s="4"/>
      <c r="K46" s="69" t="s">
        <v>67</v>
      </c>
      <c r="L46" s="70"/>
      <c r="M46" s="71"/>
      <c r="N46" s="71"/>
      <c r="O46" s="72"/>
    </row>
    <row r="47" spans="2:17" ht="12.75">
      <c r="B47" t="s">
        <v>66</v>
      </c>
      <c r="G47" s="4"/>
      <c r="I47" s="4"/>
      <c r="J47" s="4"/>
      <c r="K47" s="73" t="s">
        <v>68</v>
      </c>
      <c r="L47" s="70"/>
      <c r="M47" s="71">
        <v>120000</v>
      </c>
      <c r="N47" s="71"/>
      <c r="O47" s="73" t="s">
        <v>71</v>
      </c>
      <c r="P47" s="70"/>
      <c r="Q47" s="71">
        <v>49000</v>
      </c>
    </row>
    <row r="48" spans="1:17" ht="12.75">
      <c r="A48" t="s">
        <v>63</v>
      </c>
      <c r="G48" s="4"/>
      <c r="I48" s="4">
        <v>52156.38</v>
      </c>
      <c r="J48" s="4"/>
      <c r="K48" s="73" t="s">
        <v>69</v>
      </c>
      <c r="L48" s="70"/>
      <c r="M48" s="71">
        <v>25000</v>
      </c>
      <c r="N48" s="71"/>
      <c r="O48" s="73" t="s">
        <v>72</v>
      </c>
      <c r="P48" s="70"/>
      <c r="Q48" s="71">
        <v>30000</v>
      </c>
    </row>
    <row r="49" spans="1:15" ht="12.75">
      <c r="A49" s="47" t="s">
        <v>73</v>
      </c>
      <c r="B49" s="3"/>
      <c r="G49" s="4"/>
      <c r="I49" s="4">
        <v>149561.83</v>
      </c>
      <c r="J49" s="4"/>
      <c r="K49" s="73" t="s">
        <v>70</v>
      </c>
      <c r="L49" s="70"/>
      <c r="M49" s="71">
        <v>49000</v>
      </c>
      <c r="N49" s="71"/>
      <c r="O49" s="72"/>
    </row>
    <row r="50" spans="10:15" ht="12.75">
      <c r="J50" s="4"/>
      <c r="N50" s="71"/>
      <c r="O50" s="72"/>
    </row>
    <row r="51" spans="7:15" ht="12.75">
      <c r="G51" s="4"/>
      <c r="I51" s="4"/>
      <c r="J51" s="4"/>
      <c r="N51" s="71"/>
      <c r="O51" s="72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/>
      <c r="K56" s="4"/>
      <c r="L56" s="4"/>
    </row>
    <row r="57" spans="7:12" ht="12.75">
      <c r="G57" s="4"/>
      <c r="I57" s="4"/>
      <c r="J57" s="4" t="s">
        <v>18</v>
      </c>
      <c r="K57" s="4"/>
      <c r="L57" s="4"/>
    </row>
    <row r="58" spans="7:12" ht="12.75">
      <c r="G58" s="4"/>
      <c r="I58" s="4"/>
      <c r="J58" s="4"/>
      <c r="K58" s="4"/>
      <c r="L58" s="4"/>
    </row>
    <row r="59" spans="7:12" ht="12.75"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4:12" ht="12.75">
      <c r="D62" s="29"/>
      <c r="G62" s="4"/>
      <c r="I62" s="4"/>
      <c r="J62" s="4"/>
      <c r="K62" s="4"/>
      <c r="L62" s="4"/>
    </row>
    <row r="63" spans="7:12" ht="12.75">
      <c r="G63" s="4"/>
      <c r="I63" s="4"/>
      <c r="J63" s="4"/>
      <c r="K63" s="4"/>
      <c r="L63" s="4"/>
    </row>
  </sheetData>
  <sheetProtection/>
  <printOptions/>
  <pageMargins left="0.7" right="0.7" top="0.75" bottom="0.75" header="0.3" footer="0.3"/>
  <pageSetup orientation="landscape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63"/>
  <sheetViews>
    <sheetView zoomScalePageLayoutView="0" workbookViewId="0" topLeftCell="A1">
      <selection activeCell="I30" sqref="I30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19" max="19" width="11.140625" style="0" bestFit="1" customWidth="1"/>
    <col min="21" max="21" width="12.28125" style="0" hidden="1" customWidth="1"/>
    <col min="22" max="24" width="0" style="0" hidden="1" customWidth="1"/>
  </cols>
  <sheetData>
    <row r="1" s="1" customFormat="1" ht="18">
      <c r="D1" s="2" t="s">
        <v>0</v>
      </c>
    </row>
    <row r="2" spans="1:19" ht="15">
      <c r="A2" s="3"/>
      <c r="B2" s="3"/>
      <c r="D2" s="6" t="s">
        <v>56</v>
      </c>
      <c r="O2" s="20">
        <v>43404</v>
      </c>
      <c r="R2" s="68"/>
      <c r="S2" s="68"/>
    </row>
    <row r="3" spans="1:19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68"/>
      <c r="S3" s="68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75</v>
      </c>
      <c r="J5" s="23"/>
      <c r="K5" s="23" t="s">
        <v>76</v>
      </c>
      <c r="L5" s="23"/>
      <c r="M5" s="26" t="s">
        <v>27</v>
      </c>
      <c r="O5" s="23" t="s">
        <v>75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371859.33+44159.57+7200</f>
        <v>423218.9</v>
      </c>
      <c r="J8" s="4"/>
      <c r="K8" s="4">
        <f>373796.55+41332.92+7170</f>
        <v>422299.47</v>
      </c>
      <c r="L8" s="4"/>
      <c r="M8" s="4">
        <f aca="true" t="shared" si="0" ref="M8:M14">SUM(I8-K8)</f>
        <v>919.4300000000512</v>
      </c>
      <c r="O8" s="4">
        <f>390247.31+36752.02+7437.48</f>
        <v>434436.81</v>
      </c>
      <c r="Q8" s="4">
        <f aca="true" t="shared" si="1" ref="Q8:Q14">SUM(I8-O8)</f>
        <v>-11217.909999999974</v>
      </c>
      <c r="S8" s="4"/>
      <c r="U8" s="65"/>
      <c r="X8" s="4"/>
    </row>
    <row r="9" spans="4:24" ht="12.75">
      <c r="D9" t="s">
        <v>2</v>
      </c>
      <c r="G9" s="4"/>
      <c r="I9" s="4">
        <v>30733.18</v>
      </c>
      <c r="J9" s="4"/>
      <c r="K9" s="4">
        <v>-8202.2</v>
      </c>
      <c r="L9" s="4"/>
      <c r="M9" s="4">
        <f t="shared" si="0"/>
        <v>38935.380000000005</v>
      </c>
      <c r="O9" s="4">
        <v>32966.17</v>
      </c>
      <c r="Q9" s="4">
        <f t="shared" si="1"/>
        <v>-2232.989999999998</v>
      </c>
      <c r="S9" s="4"/>
      <c r="U9" s="65"/>
      <c r="X9" s="4"/>
    </row>
    <row r="10" spans="4:24" ht="12.75">
      <c r="D10" t="s">
        <v>3</v>
      </c>
      <c r="G10" s="4"/>
      <c r="I10" s="4">
        <v>61463.33</v>
      </c>
      <c r="J10" s="4"/>
      <c r="K10" s="4">
        <v>62649.46</v>
      </c>
      <c r="L10" s="4"/>
      <c r="M10" s="4">
        <f t="shared" si="0"/>
        <v>-1186.1299999999974</v>
      </c>
      <c r="O10" s="4">
        <v>54819.17</v>
      </c>
      <c r="Q10" s="4">
        <f t="shared" si="1"/>
        <v>6644.1600000000035</v>
      </c>
      <c r="S10" s="4"/>
      <c r="U10" s="65"/>
      <c r="X10" s="4"/>
    </row>
    <row r="11" spans="4:24" ht="12.75">
      <c r="D11" t="s">
        <v>31</v>
      </c>
      <c r="G11" s="4"/>
      <c r="I11" s="4">
        <f>3910.85+14295</f>
        <v>18205.85</v>
      </c>
      <c r="J11" s="4"/>
      <c r="K11" s="4">
        <f>1183.5+27710</f>
        <v>28893.5</v>
      </c>
      <c r="L11" s="4"/>
      <c r="M11" s="4">
        <f t="shared" si="0"/>
        <v>-10687.650000000001</v>
      </c>
      <c r="O11" s="4">
        <f>1325.49+24903.2</f>
        <v>26228.690000000002</v>
      </c>
      <c r="Q11" s="4">
        <f t="shared" si="1"/>
        <v>-8022.840000000004</v>
      </c>
      <c r="S11" s="4"/>
      <c r="U11" s="65"/>
      <c r="X11" s="4"/>
    </row>
    <row r="12" spans="4:24" ht="12.75">
      <c r="D12" t="s">
        <v>30</v>
      </c>
      <c r="G12" s="4"/>
      <c r="I12" s="4">
        <v>282.3</v>
      </c>
      <c r="J12" s="4"/>
      <c r="K12" s="4">
        <v>72.39</v>
      </c>
      <c r="L12" s="4"/>
      <c r="M12" s="4">
        <f t="shared" si="0"/>
        <v>209.91000000000003</v>
      </c>
      <c r="O12" s="4">
        <v>52.62</v>
      </c>
      <c r="Q12" s="4">
        <f t="shared" si="1"/>
        <v>229.68</v>
      </c>
      <c r="S12" s="4"/>
      <c r="U12" s="65"/>
      <c r="X12" s="4"/>
    </row>
    <row r="13" spans="4:24" ht="12.75">
      <c r="D13" t="s">
        <v>29</v>
      </c>
      <c r="G13" s="4"/>
      <c r="I13" s="4">
        <f>949.6+2733.43</f>
        <v>3683.0299999999997</v>
      </c>
      <c r="J13" s="4"/>
      <c r="K13" s="4">
        <v>2610.82</v>
      </c>
      <c r="L13" s="4"/>
      <c r="M13" s="4">
        <f t="shared" si="0"/>
        <v>1072.2099999999996</v>
      </c>
      <c r="O13" s="4">
        <v>3289.32</v>
      </c>
      <c r="Q13" s="4">
        <f t="shared" si="1"/>
        <v>393.7099999999996</v>
      </c>
      <c r="S13" s="4"/>
      <c r="U13" s="65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U14" s="65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537586.5900000001</v>
      </c>
      <c r="J16" s="5"/>
      <c r="K16" s="5">
        <f>SUM(K8:K14)</f>
        <v>508323.44</v>
      </c>
      <c r="L16" s="5"/>
      <c r="M16" s="5">
        <f>SUM(M8:M14)</f>
        <v>29263.150000000056</v>
      </c>
      <c r="N16" s="5"/>
      <c r="O16" s="5">
        <f>SUM(O8:O14)</f>
        <v>551792.7799999999</v>
      </c>
      <c r="Q16" s="5">
        <f>SUM(Q8:Q14)</f>
        <v>-14206.189999999973</v>
      </c>
      <c r="S16" s="5"/>
      <c r="U16" s="5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58" customFormat="1" ht="12.75">
      <c r="B19" s="59" t="s">
        <v>34</v>
      </c>
      <c r="C19" s="60"/>
      <c r="G19" s="61"/>
      <c r="I19" s="61">
        <f>I16</f>
        <v>537586.5900000001</v>
      </c>
      <c r="J19" s="61"/>
      <c r="K19" s="61">
        <f>K16</f>
        <v>508323.44</v>
      </c>
      <c r="L19" s="61"/>
      <c r="M19" s="61">
        <f>M16</f>
        <v>29263.150000000056</v>
      </c>
      <c r="O19" s="61">
        <f>O16</f>
        <v>551792.7799999999</v>
      </c>
      <c r="Q19" s="62">
        <f>SUM(I19-O19)</f>
        <v>-14206.189999999828</v>
      </c>
      <c r="S19" s="61"/>
      <c r="U19" s="61"/>
      <c r="X19" s="61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60933.32</v>
      </c>
      <c r="J23" s="4"/>
      <c r="K23" s="4">
        <v>60213.32</v>
      </c>
      <c r="L23" s="4"/>
      <c r="M23" s="4">
        <f aca="true" t="shared" si="2" ref="M23:M29">SUM(K23-I23)</f>
        <v>-720</v>
      </c>
      <c r="O23" s="4">
        <v>61722.67</v>
      </c>
      <c r="Q23" s="4">
        <f aca="true" t="shared" si="3" ref="Q23:Q29">SUM(O23-I23)</f>
        <v>789.3499999999985</v>
      </c>
      <c r="S23" s="4"/>
      <c r="U23" s="65"/>
      <c r="X23" s="4"/>
    </row>
    <row r="24" spans="3:24" ht="12.75">
      <c r="C24" t="s">
        <v>9</v>
      </c>
      <c r="G24" s="4"/>
      <c r="I24" s="4">
        <f>18711.2+148420.93+805.32+16367.24+22676.98</f>
        <v>206981.67</v>
      </c>
      <c r="J24" s="4"/>
      <c r="K24" s="4">
        <f>22191.2+153708.5+0+13803.36+12457.16</f>
        <v>202160.22</v>
      </c>
      <c r="L24" s="4"/>
      <c r="M24" s="4">
        <f t="shared" si="2"/>
        <v>-4821.450000000012</v>
      </c>
      <c r="O24" s="4">
        <f>41265.26+155871.08+15183.7+14281.27</f>
        <v>226601.31</v>
      </c>
      <c r="Q24" s="4">
        <f t="shared" si="3"/>
        <v>19619.639999999985</v>
      </c>
      <c r="S24" s="4"/>
      <c r="U24" s="65"/>
      <c r="X24" s="4"/>
    </row>
    <row r="25" spans="3:24" ht="12.75">
      <c r="C25" s="3" t="s">
        <v>12</v>
      </c>
      <c r="G25" s="4"/>
      <c r="I25" s="4">
        <v>47187.24</v>
      </c>
      <c r="J25" s="4"/>
      <c r="K25" s="4">
        <v>54493.39</v>
      </c>
      <c r="L25" s="4"/>
      <c r="M25" s="4">
        <f t="shared" si="2"/>
        <v>7306.1500000000015</v>
      </c>
      <c r="O25" s="4">
        <v>53685.85</v>
      </c>
      <c r="Q25" s="4">
        <f t="shared" si="3"/>
        <v>6498.610000000001</v>
      </c>
      <c r="S25" s="4"/>
      <c r="U25" s="65"/>
      <c r="X25" s="4"/>
    </row>
    <row r="26" spans="3:24" ht="12.75">
      <c r="C26" t="s">
        <v>33</v>
      </c>
      <c r="G26" s="4"/>
      <c r="I26" s="4">
        <f>11595.07+13367.47+2408.9+5630.08</f>
        <v>33001.520000000004</v>
      </c>
      <c r="J26" s="4" t="s">
        <v>18</v>
      </c>
      <c r="K26" s="4">
        <f>8357.56+12610.29+2972.42+9893.04</f>
        <v>33833.31</v>
      </c>
      <c r="L26" s="4"/>
      <c r="M26" s="4">
        <f t="shared" si="2"/>
        <v>831.7899999999936</v>
      </c>
      <c r="O26" s="4">
        <f>8692.73+16206.29+3167.84+11389.32</f>
        <v>39456.18</v>
      </c>
      <c r="Q26" s="4">
        <f t="shared" si="3"/>
        <v>6454.659999999996</v>
      </c>
      <c r="S26" s="4"/>
      <c r="U26" s="65"/>
      <c r="X26" s="4"/>
    </row>
    <row r="27" spans="3:24" ht="12.75">
      <c r="C27" t="s">
        <v>10</v>
      </c>
      <c r="G27" s="4"/>
      <c r="I27" s="4">
        <v>35174.91</v>
      </c>
      <c r="J27" s="4"/>
      <c r="K27" s="4">
        <v>38215.76</v>
      </c>
      <c r="L27" s="4"/>
      <c r="M27" s="4">
        <f t="shared" si="2"/>
        <v>3040.8499999999985</v>
      </c>
      <c r="O27" s="4">
        <v>48769.01</v>
      </c>
      <c r="Q27" s="4">
        <f t="shared" si="3"/>
        <v>13594.099999999999</v>
      </c>
      <c r="S27" s="4"/>
      <c r="U27" s="65"/>
      <c r="X27" s="4"/>
    </row>
    <row r="28" spans="3:24" ht="12.75">
      <c r="C28" t="s">
        <v>11</v>
      </c>
      <c r="G28" s="4"/>
      <c r="I28" s="4">
        <v>7511.01</v>
      </c>
      <c r="J28" s="4"/>
      <c r="K28" s="4">
        <v>6687.87</v>
      </c>
      <c r="L28" s="4"/>
      <c r="M28" s="4">
        <f t="shared" si="2"/>
        <v>-823.1400000000003</v>
      </c>
      <c r="O28" s="4">
        <v>11793.55</v>
      </c>
      <c r="Q28" s="4">
        <f t="shared" si="3"/>
        <v>4282.539999999999</v>
      </c>
      <c r="S28" s="4"/>
      <c r="U28" s="65"/>
      <c r="X28" s="4"/>
    </row>
    <row r="29" spans="3:24" ht="12.75">
      <c r="C29" s="3" t="s">
        <v>40</v>
      </c>
      <c r="G29" s="4"/>
      <c r="I29" s="4">
        <f>34704.79+20234.08+4540.34</f>
        <v>59479.21000000001</v>
      </c>
      <c r="J29" s="4"/>
      <c r="K29" s="4">
        <f>38349.22+1915.41+1703.23</f>
        <v>41967.86000000001</v>
      </c>
      <c r="L29" s="4"/>
      <c r="M29" s="4">
        <f t="shared" si="2"/>
        <v>-17511.35</v>
      </c>
      <c r="O29" s="4">
        <v>70127.36</v>
      </c>
      <c r="Q29" s="4">
        <f t="shared" si="3"/>
        <v>10648.149999999994</v>
      </c>
      <c r="S29" s="4"/>
      <c r="U29" s="65"/>
      <c r="X29" s="4"/>
    </row>
    <row r="30" spans="3:24" ht="12.75">
      <c r="C30" s="47" t="s">
        <v>41</v>
      </c>
      <c r="G30" s="4"/>
      <c r="I30" s="4">
        <f>10071.62+3962.05+7904.45</f>
        <v>21938.120000000003</v>
      </c>
      <c r="J30" s="4"/>
      <c r="K30" s="4">
        <f>9708.52+3773.52+7600.65</f>
        <v>21082.690000000002</v>
      </c>
      <c r="L30" s="4"/>
      <c r="M30" s="4">
        <f>SUM(K30-I30)</f>
        <v>-855.4300000000003</v>
      </c>
      <c r="O30" s="4">
        <v>29135.89</v>
      </c>
      <c r="Q30" s="4">
        <f>SUM(O30-I30)</f>
        <v>7197.769999999997</v>
      </c>
      <c r="S30" s="4"/>
      <c r="U30" s="65"/>
      <c r="X30" s="4"/>
    </row>
    <row r="31" spans="3:24" ht="12.75">
      <c r="C31" t="s">
        <v>17</v>
      </c>
      <c r="G31" s="4"/>
      <c r="I31" s="4"/>
      <c r="J31" s="4"/>
      <c r="K31" s="4">
        <v>0</v>
      </c>
      <c r="L31" s="4"/>
      <c r="M31" s="4">
        <f>SUM(K31-I31)</f>
        <v>0</v>
      </c>
      <c r="O31" s="4">
        <v>0</v>
      </c>
      <c r="Q31" s="4">
        <f>SUM(O31-I31)</f>
        <v>0</v>
      </c>
      <c r="S31" s="4"/>
      <c r="U31" s="65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0</v>
      </c>
      <c r="L32" s="39"/>
      <c r="M32" s="4">
        <f>SUM(K32-I32)</f>
        <v>0</v>
      </c>
      <c r="N32" s="42"/>
      <c r="O32" s="39">
        <v>0</v>
      </c>
      <c r="P32" s="42"/>
      <c r="Q32" s="4">
        <f>SUM(O32-I32)</f>
        <v>0</v>
      </c>
      <c r="S32" s="4"/>
      <c r="U32" s="65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U33" s="65"/>
      <c r="X33" s="4"/>
    </row>
    <row r="34" spans="3:24" ht="12.75">
      <c r="C34" s="3" t="s">
        <v>15</v>
      </c>
      <c r="G34" s="5"/>
      <c r="I34" s="5">
        <f>SUM(I23:I32)</f>
        <v>472207.00000000006</v>
      </c>
      <c r="J34" s="5"/>
      <c r="K34" s="5">
        <f>SUM(K23:K32)</f>
        <v>458654.42</v>
      </c>
      <c r="L34" s="5"/>
      <c r="M34" s="5">
        <f>SUM(M23:M32)</f>
        <v>-13552.580000000016</v>
      </c>
      <c r="N34" s="4"/>
      <c r="O34" s="5">
        <f>SUM(O23:O32)</f>
        <v>541291.82</v>
      </c>
      <c r="Q34" s="5">
        <f>SUM(Q23:Q32)</f>
        <v>69084.81999999998</v>
      </c>
      <c r="R34" s="4"/>
      <c r="S34" s="5"/>
      <c r="T34" s="3"/>
      <c r="U34" s="5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T35" s="3"/>
      <c r="U35" s="65"/>
      <c r="V35" s="5">
        <f>88088+22931.73+41000-237790.53-41000-22844.36</f>
        <v>-149615.16000000003</v>
      </c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U36" s="65"/>
      <c r="X36" s="4"/>
    </row>
    <row r="37" spans="3:24" ht="12.75">
      <c r="C37" s="29" t="s">
        <v>28</v>
      </c>
      <c r="G37" s="4"/>
      <c r="I37" s="4">
        <v>33250</v>
      </c>
      <c r="J37" s="4"/>
      <c r="K37" s="4">
        <v>34193.75</v>
      </c>
      <c r="L37" s="4"/>
      <c r="M37" s="4">
        <f>SUM(K37-I37)</f>
        <v>943.75</v>
      </c>
      <c r="O37" s="4">
        <v>33500</v>
      </c>
      <c r="Q37" s="4">
        <f>SUM(O37-I37)</f>
        <v>250</v>
      </c>
      <c r="S37" s="4"/>
      <c r="U37" s="65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U38" s="65"/>
      <c r="V38" s="4">
        <f>860980.59-237486.54-68321.5</f>
        <v>555172.5499999999</v>
      </c>
      <c r="W38" s="12"/>
      <c r="X38" s="4"/>
    </row>
    <row r="39" spans="3:24" s="8" customFormat="1" ht="12.75">
      <c r="C39" s="9" t="s">
        <v>16</v>
      </c>
      <c r="G39" s="10"/>
      <c r="I39" s="10">
        <f>SUM(I37:I37)</f>
        <v>33250</v>
      </c>
      <c r="J39" s="10"/>
      <c r="K39" s="10">
        <f>SUM(K37:K37)</f>
        <v>34193.75</v>
      </c>
      <c r="L39" s="10"/>
      <c r="M39" s="4">
        <f>SUM(K39-I39)</f>
        <v>943.75</v>
      </c>
      <c r="N39" s="10"/>
      <c r="O39" s="10">
        <f>SUM(O37:O37)</f>
        <v>33500</v>
      </c>
      <c r="Q39" s="4">
        <f>SUM(O39-I39)</f>
        <v>250</v>
      </c>
      <c r="U39" s="10"/>
      <c r="V39" s="10">
        <f>22932-22844</f>
        <v>88</v>
      </c>
      <c r="W39" s="35"/>
      <c r="X39" s="9">
        <f>16991-17079</f>
        <v>-88</v>
      </c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U40" s="66"/>
      <c r="X40" s="10"/>
    </row>
    <row r="41" spans="2:24" s="58" customFormat="1" ht="12.75">
      <c r="B41" s="63" t="s">
        <v>36</v>
      </c>
      <c r="G41" s="61"/>
      <c r="I41" s="61">
        <f>I34+I39</f>
        <v>505457.00000000006</v>
      </c>
      <c r="J41" s="61"/>
      <c r="K41" s="61">
        <f>K34+K39</f>
        <v>492848.17</v>
      </c>
      <c r="L41" s="61"/>
      <c r="M41" s="61">
        <f>M34+M39</f>
        <v>-12608.830000000016</v>
      </c>
      <c r="O41" s="61">
        <f>O34+O39</f>
        <v>574791.82</v>
      </c>
      <c r="Q41" s="61">
        <f>Q34+Q39</f>
        <v>69334.81999999998</v>
      </c>
      <c r="R41" s="64"/>
      <c r="S41" s="61"/>
      <c r="U41" s="61"/>
      <c r="X41" s="61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21" s="58" customFormat="1" ht="12.75">
      <c r="A43" s="63" t="s">
        <v>22</v>
      </c>
      <c r="G43" s="62"/>
      <c r="I43" s="62">
        <f>I19-I41</f>
        <v>32129.590000000026</v>
      </c>
      <c r="J43" s="62"/>
      <c r="K43" s="62">
        <f>K19-K41</f>
        <v>15475.270000000019</v>
      </c>
      <c r="L43" s="62"/>
      <c r="M43" s="62">
        <f>SUM(M41+M19)</f>
        <v>16654.32000000004</v>
      </c>
      <c r="O43" s="62">
        <f>O19-O41</f>
        <v>-22999.040000000037</v>
      </c>
      <c r="Q43" s="62">
        <f>Q19+Q41</f>
        <v>55128.63000000015</v>
      </c>
      <c r="S43" s="62"/>
      <c r="U43" s="62"/>
    </row>
    <row r="44" spans="7:12" ht="12.75">
      <c r="G44" s="4"/>
      <c r="I44" s="4"/>
      <c r="J44" s="4"/>
      <c r="K44" s="4"/>
      <c r="L44" s="4"/>
    </row>
    <row r="45" spans="4:12" ht="12.75">
      <c r="D45" s="74" t="s">
        <v>74</v>
      </c>
      <c r="G45" s="4"/>
      <c r="J45" s="4"/>
      <c r="K45" s="4"/>
      <c r="L45" s="4"/>
    </row>
    <row r="46" spans="7:15" ht="12.75">
      <c r="G46" s="4"/>
      <c r="I46" s="4"/>
      <c r="J46" s="4"/>
      <c r="K46" s="69" t="s">
        <v>67</v>
      </c>
      <c r="L46" s="70"/>
      <c r="M46" s="71"/>
      <c r="N46" s="71"/>
      <c r="O46" s="72"/>
    </row>
    <row r="47" spans="7:17" ht="12.75">
      <c r="G47" s="4"/>
      <c r="I47" s="4"/>
      <c r="J47" s="4"/>
      <c r="K47" s="73"/>
      <c r="L47" s="70"/>
      <c r="M47" s="71"/>
      <c r="N47" s="71"/>
      <c r="O47" s="73"/>
      <c r="P47" s="70"/>
      <c r="Q47" s="71"/>
    </row>
    <row r="48" spans="7:17" ht="12.75">
      <c r="G48" s="4"/>
      <c r="I48" s="4"/>
      <c r="J48" s="4"/>
      <c r="K48" s="73"/>
      <c r="L48" s="70"/>
      <c r="M48" s="71"/>
      <c r="N48" s="71"/>
      <c r="O48" s="73"/>
      <c r="P48" s="70"/>
      <c r="Q48" s="71"/>
    </row>
    <row r="49" spans="1:15" ht="12.75">
      <c r="A49" s="47"/>
      <c r="B49" s="3"/>
      <c r="G49" s="4"/>
      <c r="I49" s="4"/>
      <c r="J49" s="4"/>
      <c r="K49" s="73"/>
      <c r="L49" s="70"/>
      <c r="M49" s="71"/>
      <c r="N49" s="71"/>
      <c r="O49" s="72"/>
    </row>
    <row r="50" spans="10:15" ht="12.75">
      <c r="J50" s="4"/>
      <c r="N50" s="71"/>
      <c r="O50" s="72"/>
    </row>
    <row r="51" spans="7:15" ht="12.75">
      <c r="G51" s="4"/>
      <c r="I51" s="4"/>
      <c r="J51" s="4"/>
      <c r="N51" s="71"/>
      <c r="O51" s="72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/>
      <c r="K56" s="4"/>
      <c r="L56" s="4"/>
    </row>
    <row r="57" spans="7:12" ht="12.75">
      <c r="G57" s="4"/>
      <c r="I57" s="4"/>
      <c r="J57" s="4" t="s">
        <v>18</v>
      </c>
      <c r="K57" s="4"/>
      <c r="L57" s="4"/>
    </row>
    <row r="58" spans="7:12" ht="12.75">
      <c r="G58" s="4"/>
      <c r="I58" s="4"/>
      <c r="J58" s="4"/>
      <c r="K58" s="4"/>
      <c r="L58" s="4"/>
    </row>
    <row r="59" spans="7:12" ht="12.75"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4:12" ht="12.75">
      <c r="D62" s="29"/>
      <c r="G62" s="4"/>
      <c r="I62" s="4"/>
      <c r="J62" s="4"/>
      <c r="K62" s="4"/>
      <c r="L62" s="4"/>
    </row>
    <row r="63" spans="7:12" ht="12.75">
      <c r="G63" s="4"/>
      <c r="I63" s="4"/>
      <c r="J63" s="4"/>
      <c r="K63" s="4"/>
      <c r="L63" s="4"/>
    </row>
  </sheetData>
  <sheetProtection/>
  <printOptions/>
  <pageMargins left="0.7" right="0.7" top="0.75" bottom="0.75" header="0.3" footer="0.3"/>
  <pageSetup horizontalDpi="600" verticalDpi="600" orientation="landscape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63"/>
  <sheetViews>
    <sheetView tabSelected="1" zoomScalePageLayoutView="0" workbookViewId="0" topLeftCell="A1">
      <selection activeCell="O38" sqref="O38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19" max="19" width="11.140625" style="0" bestFit="1" customWidth="1"/>
    <col min="21" max="21" width="12.28125" style="0" hidden="1" customWidth="1"/>
    <col min="22" max="24" width="0" style="0" hidden="1" customWidth="1"/>
  </cols>
  <sheetData>
    <row r="1" s="1" customFormat="1" ht="18">
      <c r="D1" s="2" t="s">
        <v>0</v>
      </c>
    </row>
    <row r="2" spans="1:19" ht="15">
      <c r="A2" s="3"/>
      <c r="B2" s="3"/>
      <c r="D2" s="6" t="s">
        <v>56</v>
      </c>
      <c r="O2" s="20">
        <v>43465</v>
      </c>
      <c r="R2" s="68"/>
      <c r="S2" s="68"/>
    </row>
    <row r="3" spans="1:19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68"/>
      <c r="S3" s="68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77</v>
      </c>
      <c r="J5" s="23"/>
      <c r="K5" s="23" t="s">
        <v>64</v>
      </c>
      <c r="L5" s="23"/>
      <c r="M5" s="26" t="s">
        <v>27</v>
      </c>
      <c r="O5" s="23" t="s">
        <v>77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562455.81+134609.99+10000</f>
        <v>707065.8</v>
      </c>
      <c r="J8" s="4"/>
      <c r="K8" s="4">
        <f>573233.47+139967.65+7870</f>
        <v>721071.12</v>
      </c>
      <c r="L8" s="4"/>
      <c r="M8" s="4">
        <f aca="true" t="shared" si="0" ref="M8:M14">SUM(I8-K8)</f>
        <v>-14005.319999999949</v>
      </c>
      <c r="O8" s="4">
        <f>598535.46+137517.91+8160.05</f>
        <v>744213.42</v>
      </c>
      <c r="Q8" s="4">
        <f aca="true" t="shared" si="1" ref="Q8:Q14">SUM(I8-O8)</f>
        <v>-37147.619999999995</v>
      </c>
      <c r="S8" s="4"/>
      <c r="U8" s="65"/>
      <c r="X8" s="4"/>
    </row>
    <row r="9" spans="4:24" ht="12.75">
      <c r="D9" t="s">
        <v>2</v>
      </c>
      <c r="G9" s="4"/>
      <c r="I9" s="4">
        <v>38774.45</v>
      </c>
      <c r="J9" s="4"/>
      <c r="K9" s="4">
        <v>-2120.09</v>
      </c>
      <c r="L9" s="4"/>
      <c r="M9" s="4">
        <f t="shared" si="0"/>
        <v>40894.53999999999</v>
      </c>
      <c r="O9" s="4">
        <v>43773.96</v>
      </c>
      <c r="Q9" s="4">
        <f t="shared" si="1"/>
        <v>-4999.510000000002</v>
      </c>
      <c r="S9" s="4"/>
      <c r="U9" s="65"/>
      <c r="X9" s="4"/>
    </row>
    <row r="10" spans="4:24" ht="12.75">
      <c r="D10" t="s">
        <v>3</v>
      </c>
      <c r="G10" s="4"/>
      <c r="I10" s="4">
        <v>66753.18</v>
      </c>
      <c r="J10" s="4"/>
      <c r="K10" s="4">
        <v>69758.46</v>
      </c>
      <c r="L10" s="4"/>
      <c r="M10" s="4">
        <f t="shared" si="0"/>
        <v>-3005.2800000000134</v>
      </c>
      <c r="O10" s="4">
        <v>65664.4</v>
      </c>
      <c r="Q10" s="4">
        <f t="shared" si="1"/>
        <v>1088.7799999999988</v>
      </c>
      <c r="S10" s="4"/>
      <c r="U10" s="65"/>
      <c r="X10" s="4"/>
    </row>
    <row r="11" spans="4:24" ht="12.75">
      <c r="D11" t="s">
        <v>31</v>
      </c>
      <c r="G11" s="4"/>
      <c r="I11" s="4">
        <f>4138.86+29067</f>
        <v>33205.86</v>
      </c>
      <c r="J11" s="4"/>
      <c r="K11" s="4">
        <f>1903.65+37486</f>
        <v>39389.65</v>
      </c>
      <c r="L11" s="4"/>
      <c r="M11" s="4">
        <f t="shared" si="0"/>
        <v>-6183.790000000001</v>
      </c>
      <c r="O11" s="4">
        <f>2132.04+33705.22</f>
        <v>35837.26</v>
      </c>
      <c r="Q11" s="4">
        <f t="shared" si="1"/>
        <v>-2631.4000000000015</v>
      </c>
      <c r="S11" s="4"/>
      <c r="U11" s="65"/>
      <c r="X11" s="4"/>
    </row>
    <row r="12" spans="4:24" ht="12.75">
      <c r="D12" t="s">
        <v>30</v>
      </c>
      <c r="G12" s="4"/>
      <c r="I12" s="4">
        <v>299.5</v>
      </c>
      <c r="J12" s="4"/>
      <c r="K12" s="4">
        <v>101.93</v>
      </c>
      <c r="L12" s="4"/>
      <c r="M12" s="4">
        <f t="shared" si="0"/>
        <v>197.57</v>
      </c>
      <c r="O12" s="4">
        <v>82.35</v>
      </c>
      <c r="Q12" s="4">
        <f t="shared" si="1"/>
        <v>217.15</v>
      </c>
      <c r="S12" s="4"/>
      <c r="U12" s="65"/>
      <c r="X12" s="4"/>
    </row>
    <row r="13" spans="4:24" ht="12.75">
      <c r="D13" t="s">
        <v>29</v>
      </c>
      <c r="G13" s="4"/>
      <c r="I13" s="4">
        <f>949.6+5388.11</f>
        <v>6337.71</v>
      </c>
      <c r="J13" s="4"/>
      <c r="K13" s="4">
        <f>0+5256.38</f>
        <v>5256.38</v>
      </c>
      <c r="L13" s="4"/>
      <c r="M13" s="4">
        <f t="shared" si="0"/>
        <v>1081.33</v>
      </c>
      <c r="O13" s="4">
        <v>6595.7</v>
      </c>
      <c r="Q13" s="4">
        <f t="shared" si="1"/>
        <v>-257.9899999999998</v>
      </c>
      <c r="S13" s="4"/>
      <c r="U13" s="65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U14" s="65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852436.4999999999</v>
      </c>
      <c r="J16" s="5"/>
      <c r="K16" s="5">
        <f>SUM(K8:K14)</f>
        <v>833457.4500000001</v>
      </c>
      <c r="L16" s="5"/>
      <c r="M16" s="5">
        <f>SUM(M8:M14)</f>
        <v>18979.050000000032</v>
      </c>
      <c r="N16" s="5"/>
      <c r="O16" s="5">
        <f>SUM(O8:O14)</f>
        <v>896167.09</v>
      </c>
      <c r="Q16" s="5">
        <f>SUM(Q8:Q14)</f>
        <v>-43730.59</v>
      </c>
      <c r="S16" s="5"/>
      <c r="U16" s="5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58" customFormat="1" ht="12.75">
      <c r="B19" s="59" t="s">
        <v>34</v>
      </c>
      <c r="C19" s="60"/>
      <c r="G19" s="61"/>
      <c r="I19" s="61">
        <f>I16</f>
        <v>852436.4999999999</v>
      </c>
      <c r="J19" s="61"/>
      <c r="K19" s="61">
        <f>K16</f>
        <v>833457.4500000001</v>
      </c>
      <c r="L19" s="61"/>
      <c r="M19" s="61">
        <f>M16</f>
        <v>18979.050000000032</v>
      </c>
      <c r="O19" s="61">
        <f>O16</f>
        <v>896167.09</v>
      </c>
      <c r="Q19" s="62">
        <f>SUM(I19-O19)</f>
        <v>-43730.590000000084</v>
      </c>
      <c r="S19" s="61"/>
      <c r="U19" s="61"/>
      <c r="X19" s="61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91399.58</v>
      </c>
      <c r="J23" s="4"/>
      <c r="K23" s="4">
        <v>90319.98</v>
      </c>
      <c r="L23" s="4"/>
      <c r="M23" s="4">
        <f aca="true" t="shared" si="2" ref="M23:M29">SUM(K23-I23)</f>
        <v>-1079.6000000000058</v>
      </c>
      <c r="O23" s="4">
        <v>92584</v>
      </c>
      <c r="Q23" s="4">
        <f aca="true" t="shared" si="3" ref="Q23:Q29">SUM(O23-I23)</f>
        <v>1184.4199999999983</v>
      </c>
      <c r="S23" s="4"/>
      <c r="U23" s="65"/>
      <c r="X23" s="4"/>
    </row>
    <row r="24" spans="3:24" ht="12.75">
      <c r="C24" t="s">
        <v>9</v>
      </c>
      <c r="G24" s="4"/>
      <c r="I24" s="4">
        <f>34547.83+218694.76+1207.98+23655.86+32432.46</f>
        <v>310538.8900000001</v>
      </c>
      <c r="J24" s="4"/>
      <c r="K24" s="4">
        <f>36573.4+223956.77+0+20705.04+20843.69</f>
        <v>302078.89999999997</v>
      </c>
      <c r="L24" s="4"/>
      <c r="M24" s="4">
        <f t="shared" si="2"/>
        <v>-8459.990000000107</v>
      </c>
      <c r="O24" s="4">
        <f>66200.49+227082.64+22775.55+22569.34</f>
        <v>338628.02</v>
      </c>
      <c r="Q24" s="4">
        <f t="shared" si="3"/>
        <v>28089.129999999946</v>
      </c>
      <c r="S24" s="4"/>
      <c r="U24" s="65"/>
      <c r="X24" s="4"/>
    </row>
    <row r="25" spans="3:24" ht="12.75">
      <c r="C25" s="3" t="s">
        <v>12</v>
      </c>
      <c r="G25" s="4"/>
      <c r="I25" s="4">
        <v>72822.84</v>
      </c>
      <c r="J25" s="4"/>
      <c r="K25" s="4">
        <v>79779.16</v>
      </c>
      <c r="L25" s="4"/>
      <c r="M25" s="4">
        <f t="shared" si="2"/>
        <v>6956.320000000007</v>
      </c>
      <c r="O25" s="4">
        <v>78785.05</v>
      </c>
      <c r="Q25" s="4">
        <f t="shared" si="3"/>
        <v>5962.210000000006</v>
      </c>
      <c r="S25" s="4"/>
      <c r="U25" s="65"/>
      <c r="X25" s="4"/>
    </row>
    <row r="26" spans="3:24" ht="12.75">
      <c r="C26" t="s">
        <v>33</v>
      </c>
      <c r="G26" s="4"/>
      <c r="I26" s="4">
        <f>18915.27+18170.47+2390.66+9975.44</f>
        <v>49451.84000000001</v>
      </c>
      <c r="J26" s="4" t="s">
        <v>18</v>
      </c>
      <c r="K26" s="4">
        <f>11628.76+20321.2+4709.9+17100.26</f>
        <v>53760.119999999995</v>
      </c>
      <c r="L26" s="4"/>
      <c r="M26" s="4">
        <f t="shared" si="2"/>
        <v>4308.279999999984</v>
      </c>
      <c r="O26" s="4">
        <f>12032.37+24023.18+4933.07+19916.4</f>
        <v>60905.020000000004</v>
      </c>
      <c r="Q26" s="4">
        <f t="shared" si="3"/>
        <v>11453.179999999993</v>
      </c>
      <c r="S26" s="4"/>
      <c r="U26" s="65"/>
      <c r="X26" s="4"/>
    </row>
    <row r="27" spans="3:24" ht="12.75">
      <c r="C27" t="s">
        <v>10</v>
      </c>
      <c r="G27" s="4"/>
      <c r="I27" s="4">
        <v>40862.46</v>
      </c>
      <c r="J27" s="4"/>
      <c r="K27" s="4">
        <v>49602.21</v>
      </c>
      <c r="L27" s="4"/>
      <c r="M27" s="4">
        <f t="shared" si="2"/>
        <v>8739.75</v>
      </c>
      <c r="O27" s="4">
        <v>65348</v>
      </c>
      <c r="Q27" s="4">
        <f t="shared" si="3"/>
        <v>24485.54</v>
      </c>
      <c r="S27" s="4"/>
      <c r="U27" s="65"/>
      <c r="X27" s="4"/>
    </row>
    <row r="28" spans="3:24" ht="12.75">
      <c r="C28" t="s">
        <v>11</v>
      </c>
      <c r="G28" s="4"/>
      <c r="I28" s="4">
        <v>10048.26</v>
      </c>
      <c r="J28" s="4"/>
      <c r="K28" s="4">
        <v>7975.12</v>
      </c>
      <c r="L28" s="4"/>
      <c r="M28" s="4">
        <f t="shared" si="2"/>
        <v>-2073.1400000000003</v>
      </c>
      <c r="O28" s="4">
        <v>13974.72</v>
      </c>
      <c r="Q28" s="4">
        <f t="shared" si="3"/>
        <v>3926.459999999999</v>
      </c>
      <c r="S28" s="4"/>
      <c r="U28" s="65"/>
      <c r="X28" s="4"/>
    </row>
    <row r="29" spans="3:24" ht="12.75">
      <c r="C29" s="3" t="s">
        <v>40</v>
      </c>
      <c r="G29" s="4"/>
      <c r="I29" s="4">
        <f>42084.17+21761.72+7007.57</f>
        <v>70853.45999999999</v>
      </c>
      <c r="J29" s="4"/>
      <c r="K29" s="4">
        <f>67920.29+3305.76+2764.19</f>
        <v>73990.23999999999</v>
      </c>
      <c r="L29" s="4"/>
      <c r="M29" s="4">
        <f t="shared" si="2"/>
        <v>3136.779999999999</v>
      </c>
      <c r="O29" s="4">
        <v>111314.31</v>
      </c>
      <c r="Q29" s="4">
        <f t="shared" si="3"/>
        <v>40460.850000000006</v>
      </c>
      <c r="S29" s="4"/>
      <c r="U29" s="65"/>
      <c r="X29" s="4"/>
    </row>
    <row r="30" spans="3:24" ht="12.75">
      <c r="C30" s="47" t="s">
        <v>41</v>
      </c>
      <c r="G30" s="4"/>
      <c r="I30" s="4">
        <f>18290.45+6347.44+16255.15</f>
        <v>40893.04</v>
      </c>
      <c r="J30" s="4"/>
      <c r="K30" s="4">
        <f>14428.64+5470.77+12358.26</f>
        <v>32257.67</v>
      </c>
      <c r="L30" s="4"/>
      <c r="M30" s="4">
        <f>SUM(K30-I30)</f>
        <v>-8635.370000000003</v>
      </c>
      <c r="O30" s="4">
        <v>45616.67</v>
      </c>
      <c r="Q30" s="4">
        <f>SUM(O30-I30)</f>
        <v>4723.629999999997</v>
      </c>
      <c r="S30" s="4"/>
      <c r="U30" s="65"/>
      <c r="X30" s="4"/>
    </row>
    <row r="31" spans="3:24" ht="12.75">
      <c r="C31" t="s">
        <v>17</v>
      </c>
      <c r="G31" s="4"/>
      <c r="I31" s="4"/>
      <c r="J31" s="4"/>
      <c r="K31" s="4">
        <v>0</v>
      </c>
      <c r="L31" s="4"/>
      <c r="M31" s="4">
        <f>SUM(K31-I31)</f>
        <v>0</v>
      </c>
      <c r="O31" s="4">
        <v>0</v>
      </c>
      <c r="Q31" s="4">
        <f>SUM(O31-I31)</f>
        <v>0</v>
      </c>
      <c r="S31" s="4"/>
      <c r="U31" s="65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0</v>
      </c>
      <c r="L32" s="39"/>
      <c r="M32" s="4">
        <f>SUM(K32-I32)</f>
        <v>0</v>
      </c>
      <c r="N32" s="42"/>
      <c r="O32" s="39">
        <v>0</v>
      </c>
      <c r="P32" s="42"/>
      <c r="Q32" s="4">
        <f>SUM(O32-I32)</f>
        <v>0</v>
      </c>
      <c r="S32" s="4"/>
      <c r="U32" s="65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U33" s="65"/>
      <c r="X33" s="4"/>
    </row>
    <row r="34" spans="3:24" ht="12.75">
      <c r="C34" s="3" t="s">
        <v>15</v>
      </c>
      <c r="G34" s="5"/>
      <c r="I34" s="5">
        <f>SUM(I23:I32)</f>
        <v>686870.3700000001</v>
      </c>
      <c r="J34" s="5"/>
      <c r="K34" s="5">
        <f>SUM(K23:K32)</f>
        <v>689763.3999999999</v>
      </c>
      <c r="L34" s="5"/>
      <c r="M34" s="5">
        <f>SUM(M23:M32)</f>
        <v>2893.029999999875</v>
      </c>
      <c r="N34" s="4"/>
      <c r="O34" s="5">
        <f>SUM(O23:O32)</f>
        <v>807155.7899999999</v>
      </c>
      <c r="Q34" s="5">
        <f>SUM(Q23:Q32)</f>
        <v>120285.41999999995</v>
      </c>
      <c r="R34" s="4"/>
      <c r="S34" s="5"/>
      <c r="T34" s="3"/>
      <c r="U34" s="5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T35" s="3"/>
      <c r="U35" s="65"/>
      <c r="V35" s="5">
        <f>88088+22931.73+41000-237790.53-41000-22844.36</f>
        <v>-149615.16000000003</v>
      </c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U36" s="65"/>
      <c r="X36" s="4"/>
    </row>
    <row r="37" spans="3:24" ht="12.75">
      <c r="C37" s="29" t="s">
        <v>28</v>
      </c>
      <c r="G37" s="4"/>
      <c r="I37" s="4">
        <v>66000</v>
      </c>
      <c r="J37" s="4"/>
      <c r="K37" s="4">
        <v>68387.5</v>
      </c>
      <c r="L37" s="4"/>
      <c r="M37" s="4">
        <f>SUM(K37-I37)</f>
        <v>2387.5</v>
      </c>
      <c r="O37" s="4">
        <v>67000</v>
      </c>
      <c r="Q37" s="4">
        <f>SUM(O37-I37)</f>
        <v>1000</v>
      </c>
      <c r="S37" s="4"/>
      <c r="U37" s="65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U38" s="65"/>
      <c r="V38" s="4">
        <f>860980.59-237486.54-68321.5</f>
        <v>555172.5499999999</v>
      </c>
      <c r="W38" s="12"/>
      <c r="X38" s="4"/>
    </row>
    <row r="39" spans="3:24" s="8" customFormat="1" ht="12.75">
      <c r="C39" s="9" t="s">
        <v>16</v>
      </c>
      <c r="G39" s="10"/>
      <c r="I39" s="10">
        <f>SUM(I37:I37)</f>
        <v>66000</v>
      </c>
      <c r="J39" s="10"/>
      <c r="K39" s="10">
        <f>SUM(K37:K37)</f>
        <v>68387.5</v>
      </c>
      <c r="L39" s="10"/>
      <c r="M39" s="4">
        <f>SUM(K39-I39)</f>
        <v>2387.5</v>
      </c>
      <c r="N39" s="10"/>
      <c r="O39" s="10">
        <f>SUM(O37:O37)</f>
        <v>67000</v>
      </c>
      <c r="Q39" s="4">
        <f>SUM(O39-I39)</f>
        <v>1000</v>
      </c>
      <c r="U39" s="10"/>
      <c r="V39" s="10">
        <f>22932-22844</f>
        <v>88</v>
      </c>
      <c r="W39" s="35"/>
      <c r="X39" s="9">
        <f>16991-17079</f>
        <v>-88</v>
      </c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U40" s="66"/>
      <c r="X40" s="10"/>
    </row>
    <row r="41" spans="2:24" s="58" customFormat="1" ht="12.75">
      <c r="B41" s="63" t="s">
        <v>36</v>
      </c>
      <c r="G41" s="61"/>
      <c r="I41" s="61">
        <f>I34+I39</f>
        <v>752870.3700000001</v>
      </c>
      <c r="J41" s="61"/>
      <c r="K41" s="61">
        <f>K34+K39</f>
        <v>758150.8999999999</v>
      </c>
      <c r="L41" s="61"/>
      <c r="M41" s="61">
        <f>M34+M39</f>
        <v>5280.529999999875</v>
      </c>
      <c r="O41" s="61">
        <f>O34+O39</f>
        <v>874155.7899999999</v>
      </c>
      <c r="Q41" s="61">
        <f>Q34+Q39</f>
        <v>121285.41999999995</v>
      </c>
      <c r="R41" s="64"/>
      <c r="S41" s="61"/>
      <c r="U41" s="61"/>
      <c r="X41" s="61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21" s="58" customFormat="1" ht="12.75">
      <c r="A43" s="63" t="s">
        <v>22</v>
      </c>
      <c r="G43" s="62"/>
      <c r="I43" s="62">
        <f>I19-I41</f>
        <v>99566.12999999977</v>
      </c>
      <c r="J43" s="62"/>
      <c r="K43" s="62">
        <f>K19-K41</f>
        <v>75306.55000000016</v>
      </c>
      <c r="L43" s="62"/>
      <c r="M43" s="62">
        <f>SUM(M41+M19)</f>
        <v>24259.579999999907</v>
      </c>
      <c r="O43" s="62">
        <f>O19-O41</f>
        <v>22011.300000000047</v>
      </c>
      <c r="Q43" s="62">
        <f>Q19+Q41</f>
        <v>77554.82999999987</v>
      </c>
      <c r="S43" s="62"/>
      <c r="U43" s="62"/>
    </row>
    <row r="44" spans="7:12" ht="12.75">
      <c r="G44" s="4"/>
      <c r="I44" s="4"/>
      <c r="J44" s="4"/>
      <c r="K44" s="4" t="s">
        <v>78</v>
      </c>
      <c r="L44" s="4"/>
    </row>
    <row r="45" spans="4:12" ht="12.75">
      <c r="D45" s="74" t="s">
        <v>74</v>
      </c>
      <c r="G45" s="4"/>
      <c r="J45" s="4"/>
      <c r="K45" s="4">
        <v>215384.53</v>
      </c>
      <c r="L45" s="4"/>
    </row>
    <row r="46" spans="7:15" ht="12.75">
      <c r="G46" s="4"/>
      <c r="I46" s="4"/>
      <c r="J46" s="4"/>
      <c r="K46" s="69" t="s">
        <v>67</v>
      </c>
      <c r="L46" s="70"/>
      <c r="M46" s="71"/>
      <c r="N46" s="71"/>
      <c r="O46" s="72"/>
    </row>
    <row r="47" spans="7:17" ht="12.75">
      <c r="G47" s="4"/>
      <c r="I47" s="4"/>
      <c r="J47" s="4"/>
      <c r="K47" s="73"/>
      <c r="L47" s="70"/>
      <c r="M47" s="71"/>
      <c r="N47" s="71"/>
      <c r="O47" s="73"/>
      <c r="P47" s="70"/>
      <c r="Q47" s="71"/>
    </row>
    <row r="48" spans="7:17" ht="12.75">
      <c r="G48" s="4"/>
      <c r="I48" s="4"/>
      <c r="J48" s="4"/>
      <c r="K48" s="73"/>
      <c r="L48" s="70"/>
      <c r="M48" s="71"/>
      <c r="N48" s="71"/>
      <c r="O48" s="73"/>
      <c r="P48" s="70"/>
      <c r="Q48" s="71"/>
    </row>
    <row r="49" spans="1:15" ht="12.75">
      <c r="A49" s="47"/>
      <c r="B49" s="3"/>
      <c r="G49" s="4"/>
      <c r="I49" s="4"/>
      <c r="J49" s="4"/>
      <c r="K49" s="73"/>
      <c r="L49" s="70"/>
      <c r="M49" s="71"/>
      <c r="N49" s="71"/>
      <c r="O49" s="72"/>
    </row>
    <row r="50" spans="10:15" ht="12.75">
      <c r="J50" s="4"/>
      <c r="N50" s="71"/>
      <c r="O50" s="72"/>
    </row>
    <row r="51" spans="7:15" ht="12.75">
      <c r="G51" s="4"/>
      <c r="I51" s="4"/>
      <c r="J51" s="4"/>
      <c r="N51" s="71"/>
      <c r="O51" s="72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/>
      <c r="K56" s="4"/>
      <c r="L56" s="4"/>
    </row>
    <row r="57" spans="7:12" ht="12.75">
      <c r="G57" s="4"/>
      <c r="I57" s="4"/>
      <c r="J57" s="4" t="s">
        <v>18</v>
      </c>
      <c r="K57" s="4"/>
      <c r="L57" s="4"/>
    </row>
    <row r="58" spans="7:12" ht="12.75">
      <c r="G58" s="4"/>
      <c r="I58" s="4"/>
      <c r="J58" s="4"/>
      <c r="K58" s="4"/>
      <c r="L58" s="4"/>
    </row>
    <row r="59" spans="7:12" ht="12.75"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4:12" ht="12.75">
      <c r="D62" s="29"/>
      <c r="G62" s="4"/>
      <c r="I62" s="4"/>
      <c r="J62" s="4"/>
      <c r="K62" s="4"/>
      <c r="L62" s="4"/>
    </row>
    <row r="63" spans="7:12" ht="12.75">
      <c r="G63" s="4"/>
      <c r="I63" s="4"/>
      <c r="J63" s="4"/>
      <c r="K63" s="4"/>
      <c r="L63" s="4"/>
    </row>
  </sheetData>
  <sheetProtection/>
  <printOptions/>
  <pageMargins left="0.7" right="0.7" top="0.75" bottom="0.75" header="0.3" footer="0.3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2"/>
  <sheetViews>
    <sheetView zoomScale="90" zoomScaleNormal="90" zoomScalePageLayoutView="0" workbookViewId="0" topLeftCell="A10">
      <selection activeCell="A1" sqref="A1:IV16384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21" max="21" width="10.140625" style="0" bestFit="1" customWidth="1"/>
  </cols>
  <sheetData>
    <row r="1" s="1" customFormat="1" ht="18">
      <c r="D1" s="2" t="s">
        <v>0</v>
      </c>
    </row>
    <row r="2" spans="1:15" ht="15">
      <c r="A2" s="3"/>
      <c r="B2" s="3"/>
      <c r="D2" s="6" t="s">
        <v>5</v>
      </c>
      <c r="O2" s="20">
        <v>41955</v>
      </c>
    </row>
    <row r="3" spans="1:18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42</v>
      </c>
      <c r="J5" s="23"/>
      <c r="K5" s="23" t="s">
        <v>43</v>
      </c>
      <c r="L5" s="23"/>
      <c r="M5" s="26" t="s">
        <v>27</v>
      </c>
      <c r="O5" s="23" t="s">
        <v>42</v>
      </c>
      <c r="Q5" s="26" t="s">
        <v>24</v>
      </c>
      <c r="Z5" s="22"/>
    </row>
    <row r="6" spans="1:11" s="7" customFormat="1" ht="15">
      <c r="A6" s="14" t="s">
        <v>20</v>
      </c>
      <c r="B6" s="15"/>
      <c r="C6" s="15"/>
      <c r="K6" s="7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363677.44+42067.67+3850</f>
        <v>409595.11</v>
      </c>
      <c r="J8" s="4"/>
      <c r="K8" s="4">
        <f>353212.09+45908.05+3500</f>
        <v>402620.14</v>
      </c>
      <c r="L8" s="4"/>
      <c r="M8" s="4">
        <f aca="true" t="shared" si="0" ref="M8:M14">SUM(I8-K8)</f>
        <v>6974.969999999972</v>
      </c>
      <c r="O8" s="4">
        <f>351025.05+40899.04+3459.99</f>
        <v>395384.07999999996</v>
      </c>
      <c r="Q8" s="4">
        <f aca="true" t="shared" si="1" ref="Q8:Q14">SUM(I8-O8)</f>
        <v>14211.030000000028</v>
      </c>
      <c r="S8" s="4"/>
      <c r="X8" s="4"/>
    </row>
    <row r="9" spans="4:24" ht="12.75">
      <c r="D9" t="s">
        <v>2</v>
      </c>
      <c r="G9" s="4"/>
      <c r="I9" s="4">
        <f>162439.98-138343.66</f>
        <v>24096.320000000007</v>
      </c>
      <c r="J9" s="4"/>
      <c r="K9" s="4">
        <f>161518.16-161389.85</f>
        <v>128.30999999999767</v>
      </c>
      <c r="L9" s="4"/>
      <c r="M9" s="4">
        <f t="shared" si="0"/>
        <v>23968.01000000001</v>
      </c>
      <c r="O9" s="4">
        <f>161716.06-161232.56</f>
        <v>483.5</v>
      </c>
      <c r="Q9" s="4">
        <f t="shared" si="1"/>
        <v>23612.820000000007</v>
      </c>
      <c r="S9" s="4"/>
      <c r="X9" s="4"/>
    </row>
    <row r="10" spans="4:24" ht="12.75">
      <c r="D10" t="s">
        <v>3</v>
      </c>
      <c r="G10" s="4"/>
      <c r="I10" s="4">
        <v>47130.81</v>
      </c>
      <c r="J10" s="4"/>
      <c r="K10" s="4">
        <f>44953.2</f>
        <v>44953.2</v>
      </c>
      <c r="L10" s="4"/>
      <c r="M10" s="4">
        <f t="shared" si="0"/>
        <v>2177.6100000000006</v>
      </c>
      <c r="O10" s="4">
        <f>16378.53</f>
        <v>16378.53</v>
      </c>
      <c r="Q10" s="4">
        <f t="shared" si="1"/>
        <v>30752.28</v>
      </c>
      <c r="S10" s="4"/>
      <c r="X10" s="4"/>
    </row>
    <row r="11" spans="4:24" ht="12.75">
      <c r="D11" t="s">
        <v>31</v>
      </c>
      <c r="G11" s="4"/>
      <c r="I11" s="4">
        <f>10198.46</f>
        <v>10198.46</v>
      </c>
      <c r="J11" s="4"/>
      <c r="K11" s="4">
        <f>8807.19</f>
        <v>8807.19</v>
      </c>
      <c r="L11" s="4"/>
      <c r="M11" s="4">
        <f t="shared" si="0"/>
        <v>1391.2699999999986</v>
      </c>
      <c r="O11" s="4">
        <f>9067.64</f>
        <v>9067.64</v>
      </c>
      <c r="Q11" s="4">
        <f t="shared" si="1"/>
        <v>1130.8199999999997</v>
      </c>
      <c r="S11" s="4"/>
      <c r="X11" s="4"/>
    </row>
    <row r="12" spans="4:24" ht="12.75">
      <c r="D12" t="s">
        <v>30</v>
      </c>
      <c r="G12" s="4"/>
      <c r="I12" s="4">
        <v>6038.77</v>
      </c>
      <c r="J12" s="4"/>
      <c r="K12" s="4">
        <f>6045.51</f>
        <v>6045.51</v>
      </c>
      <c r="L12" s="4"/>
      <c r="M12" s="4">
        <f t="shared" si="0"/>
        <v>-6.739999999999782</v>
      </c>
      <c r="O12" s="4">
        <f>6052.96</f>
        <v>6052.96</v>
      </c>
      <c r="Q12" s="4">
        <f t="shared" si="1"/>
        <v>-14.1899999999996</v>
      </c>
      <c r="S12" s="4"/>
      <c r="X12" s="4"/>
    </row>
    <row r="13" spans="4:24" ht="12.75">
      <c r="D13" t="s">
        <v>29</v>
      </c>
      <c r="G13" s="4"/>
      <c r="I13" s="4">
        <v>0</v>
      </c>
      <c r="J13" s="4"/>
      <c r="K13" s="4">
        <v>0</v>
      </c>
      <c r="L13" s="4"/>
      <c r="M13" s="4">
        <f t="shared" si="0"/>
        <v>0</v>
      </c>
      <c r="O13" s="4">
        <v>0</v>
      </c>
      <c r="Q13" s="4">
        <f t="shared" si="1"/>
        <v>0</v>
      </c>
      <c r="S13" s="4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497059.47000000003</v>
      </c>
      <c r="J16" s="5"/>
      <c r="K16" s="5">
        <f>SUM(K8:K14)</f>
        <v>462554.35000000003</v>
      </c>
      <c r="L16" s="5"/>
      <c r="M16" s="5">
        <f>SUM(M8:M14)</f>
        <v>34505.11999999998</v>
      </c>
      <c r="N16" s="5"/>
      <c r="O16" s="5">
        <f>SUM(O8:O14)</f>
        <v>427366.71</v>
      </c>
      <c r="Q16" s="5">
        <f>SUM(Q8:Q14)</f>
        <v>69692.76000000004</v>
      </c>
      <c r="S16" s="5"/>
      <c r="U16" s="3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ht="12.75">
      <c r="B19" s="43" t="s">
        <v>34</v>
      </c>
      <c r="C19" s="17"/>
      <c r="D19" s="17"/>
      <c r="E19" s="17"/>
      <c r="F19" s="17"/>
      <c r="G19" s="19"/>
      <c r="H19" s="17"/>
      <c r="I19" s="19">
        <f>I16</f>
        <v>497059.47000000003</v>
      </c>
      <c r="J19" s="19"/>
      <c r="K19" s="19">
        <f>K16</f>
        <v>462554.35000000003</v>
      </c>
      <c r="L19" s="19"/>
      <c r="M19" s="19">
        <f>M16</f>
        <v>34505.11999999998</v>
      </c>
      <c r="N19" s="17"/>
      <c r="O19" s="19">
        <f>O16</f>
        <v>427366.71</v>
      </c>
      <c r="P19" s="17"/>
      <c r="Q19" s="33">
        <f>SUM(I19-O19)</f>
        <v>69692.76000000001</v>
      </c>
      <c r="S19" s="30"/>
      <c r="T19" s="12"/>
      <c r="U19" s="12"/>
      <c r="V19" s="12"/>
      <c r="X19" s="30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ht="12.75">
      <c r="A21" s="16" t="s">
        <v>21</v>
      </c>
      <c r="B21" s="17"/>
      <c r="C21" s="17"/>
      <c r="G21" s="4"/>
      <c r="I21" s="4"/>
      <c r="J21" s="4"/>
      <c r="K21" s="4"/>
      <c r="L21" s="4"/>
      <c r="M21" s="4" t="s">
        <v>18</v>
      </c>
      <c r="O21" s="4"/>
      <c r="S21" s="4"/>
      <c r="T21" s="12"/>
      <c r="X21" s="4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50500</v>
      </c>
      <c r="J23" s="4"/>
      <c r="K23" s="4">
        <f>47133.32</f>
        <v>47133.32</v>
      </c>
      <c r="L23" s="4"/>
      <c r="M23" s="4">
        <f aca="true" t="shared" si="2" ref="M23:M29">SUM(K23-I23)</f>
        <v>-3366.6800000000003</v>
      </c>
      <c r="O23" s="4">
        <f>50487.67</f>
        <v>50487.67</v>
      </c>
      <c r="Q23" s="4">
        <f aca="true" t="shared" si="3" ref="Q23:Q29">SUM(O23-I23)</f>
        <v>-12.330000000001746</v>
      </c>
      <c r="S23" s="4"/>
      <c r="X23" s="4"/>
    </row>
    <row r="24" spans="3:24" ht="12.75">
      <c r="C24" t="s">
        <v>9</v>
      </c>
      <c r="G24" s="4"/>
      <c r="I24" s="4">
        <f>135120.21+19635.15+17194.48</f>
        <v>171949.84</v>
      </c>
      <c r="J24" s="4"/>
      <c r="K24" s="4">
        <f>18051.85+132701.05+15837.25+12539.92</f>
        <v>179130.07</v>
      </c>
      <c r="L24" s="4"/>
      <c r="M24" s="4">
        <f t="shared" si="2"/>
        <v>7180.2300000000105</v>
      </c>
      <c r="O24" s="4">
        <f>19238.76+132720.9+13167+16596.73</f>
        <v>181723.39</v>
      </c>
      <c r="Q24" s="4">
        <f t="shared" si="3"/>
        <v>9773.550000000017</v>
      </c>
      <c r="S24" s="4"/>
      <c r="X24" s="4"/>
    </row>
    <row r="25" spans="3:24" ht="12.75">
      <c r="C25" s="3" t="s">
        <v>12</v>
      </c>
      <c r="G25" s="4"/>
      <c r="I25" s="4">
        <f>40670.7</f>
        <v>40670.7</v>
      </c>
      <c r="J25" s="4"/>
      <c r="K25" s="4">
        <f>32746.98</f>
        <v>32746.98</v>
      </c>
      <c r="L25" s="4"/>
      <c r="M25" s="4">
        <f t="shared" si="2"/>
        <v>-7923.7199999999975</v>
      </c>
      <c r="O25" s="4">
        <f>34944.62</f>
        <v>34944.62</v>
      </c>
      <c r="Q25" s="4">
        <f t="shared" si="3"/>
        <v>-5726.0799999999945</v>
      </c>
      <c r="S25" s="4"/>
      <c r="X25" s="4"/>
    </row>
    <row r="26" spans="3:24" ht="12.75">
      <c r="C26" t="s">
        <v>33</v>
      </c>
      <c r="G26" s="4"/>
      <c r="I26" s="4">
        <f>4729.56+5410.51+2718.62+10055.47</f>
        <v>22914.159999999996</v>
      </c>
      <c r="J26" s="4"/>
      <c r="K26" s="4">
        <f>4909.22+5409.27+3747.66+10446</f>
        <v>24512.15</v>
      </c>
      <c r="L26" s="4"/>
      <c r="M26" s="4">
        <f t="shared" si="2"/>
        <v>1597.9900000000052</v>
      </c>
      <c r="O26" s="4">
        <f>3144.6+5239.95+3986.86+11336.4</f>
        <v>23707.809999999998</v>
      </c>
      <c r="Q26" s="4">
        <f t="shared" si="3"/>
        <v>793.6500000000015</v>
      </c>
      <c r="S26" s="4"/>
      <c r="X26" s="4"/>
    </row>
    <row r="27" spans="3:24" ht="12.75">
      <c r="C27" t="s">
        <v>10</v>
      </c>
      <c r="G27" s="4"/>
      <c r="I27" s="4">
        <f>43658.84</f>
        <v>43658.84</v>
      </c>
      <c r="J27" s="4"/>
      <c r="K27" s="4">
        <f>31487.9</f>
        <v>31487.9</v>
      </c>
      <c r="L27" s="4"/>
      <c r="M27" s="4">
        <f t="shared" si="2"/>
        <v>-12170.939999999995</v>
      </c>
      <c r="O27" s="4">
        <f>34288.05</f>
        <v>34288.05</v>
      </c>
      <c r="Q27" s="4">
        <f t="shared" si="3"/>
        <v>-9370.789999999994</v>
      </c>
      <c r="S27" s="4"/>
      <c r="X27" s="4"/>
    </row>
    <row r="28" spans="3:24" ht="12.75">
      <c r="C28" t="s">
        <v>11</v>
      </c>
      <c r="G28" s="4"/>
      <c r="I28" s="4">
        <f>6792.62</f>
        <v>6792.62</v>
      </c>
      <c r="J28" s="4"/>
      <c r="K28" s="4">
        <f>5280.77</f>
        <v>5280.77</v>
      </c>
      <c r="L28" s="4"/>
      <c r="M28" s="4">
        <f t="shared" si="2"/>
        <v>-1511.8499999999995</v>
      </c>
      <c r="O28" s="4">
        <f>3558.09</f>
        <v>3558.09</v>
      </c>
      <c r="Q28" s="4">
        <f t="shared" si="3"/>
        <v>-3234.5299999999997</v>
      </c>
      <c r="S28" s="4"/>
      <c r="X28" s="4"/>
    </row>
    <row r="29" spans="3:24" ht="12.75">
      <c r="C29" s="3" t="s">
        <v>40</v>
      </c>
      <c r="G29" s="4"/>
      <c r="I29" s="4">
        <f>40862.91+12439.6</f>
        <v>53302.51</v>
      </c>
      <c r="J29" s="4"/>
      <c r="K29" s="4">
        <f>28905.54+10255.9</f>
        <v>39161.44</v>
      </c>
      <c r="L29" s="4"/>
      <c r="M29" s="4">
        <f t="shared" si="2"/>
        <v>-14141.07</v>
      </c>
      <c r="O29" s="4">
        <f>40647.49+13916.84</f>
        <v>54564.33</v>
      </c>
      <c r="Q29" s="4">
        <f t="shared" si="3"/>
        <v>1261.8199999999997</v>
      </c>
      <c r="S29" s="4"/>
      <c r="X29" s="4"/>
    </row>
    <row r="30" spans="3:24" ht="12.75">
      <c r="C30" s="47" t="s">
        <v>41</v>
      </c>
      <c r="G30" s="4"/>
      <c r="I30" s="4">
        <f>44497.48</f>
        <v>44497.48</v>
      </c>
      <c r="J30" s="4"/>
      <c r="K30" s="4">
        <f>46246.06</f>
        <v>46246.06</v>
      </c>
      <c r="L30" s="4"/>
      <c r="M30" s="4">
        <f>SUM(K30-I30)</f>
        <v>1748.5799999999945</v>
      </c>
      <c r="O30" s="4">
        <f>49446.05</f>
        <v>49446.05</v>
      </c>
      <c r="Q30" s="4">
        <f>SUM(O30-I30)</f>
        <v>4948.57</v>
      </c>
      <c r="S30" s="4"/>
      <c r="X30" s="4"/>
    </row>
    <row r="31" spans="3:24" ht="12.75">
      <c r="C31" t="s">
        <v>17</v>
      </c>
      <c r="G31" s="4"/>
      <c r="I31" s="4">
        <v>0.41</v>
      </c>
      <c r="J31" s="4"/>
      <c r="K31" s="4">
        <v>0</v>
      </c>
      <c r="L31" s="4"/>
      <c r="M31" s="4">
        <f>SUM(K31-I31)</f>
        <v>-0.41</v>
      </c>
      <c r="O31" s="4">
        <v>0</v>
      </c>
      <c r="Q31" s="4">
        <f>SUM(O31-I31)</f>
        <v>-0.41</v>
      </c>
      <c r="S31" s="4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f>6439.2+11800</f>
        <v>18239.2</v>
      </c>
      <c r="L32" s="39"/>
      <c r="M32" s="4">
        <f>SUM(K32-I32)</f>
        <v>18239.2</v>
      </c>
      <c r="N32" s="42"/>
      <c r="O32" s="39">
        <v>0</v>
      </c>
      <c r="P32" s="42"/>
      <c r="Q32" s="4">
        <f>SUM(O32-I32)</f>
        <v>0</v>
      </c>
      <c r="S32" s="4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X33" s="4"/>
    </row>
    <row r="34" spans="3:24" ht="12.75">
      <c r="C34" s="3" t="s">
        <v>15</v>
      </c>
      <c r="G34" s="5"/>
      <c r="I34" s="5">
        <f>SUM(I23:I32)</f>
        <v>434286.5599999999</v>
      </c>
      <c r="J34" s="5"/>
      <c r="K34" s="5">
        <f>SUM(K23:K32)</f>
        <v>423937.8900000001</v>
      </c>
      <c r="L34" s="5"/>
      <c r="M34" s="5">
        <f>SUM(M23:M32)</f>
        <v>-10348.66999999998</v>
      </c>
      <c r="N34" s="4"/>
      <c r="O34" s="5">
        <f>SUM(O23:O32)</f>
        <v>432720.01</v>
      </c>
      <c r="Q34" s="5">
        <f>SUM(Q23:Q32)</f>
        <v>-1566.5499999999713</v>
      </c>
      <c r="R34" s="4" t="s">
        <v>18</v>
      </c>
      <c r="S34" s="5"/>
      <c r="T34" s="3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S35" s="5"/>
      <c r="T35" s="3"/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X36" s="4"/>
    </row>
    <row r="37" spans="3:24" ht="12.75">
      <c r="C37" s="29" t="s">
        <v>28</v>
      </c>
      <c r="G37" s="4"/>
      <c r="I37" s="4">
        <f>33910.75</f>
        <v>33910.75</v>
      </c>
      <c r="J37" s="4"/>
      <c r="K37" s="4">
        <f>40214</f>
        <v>40214</v>
      </c>
      <c r="L37" s="4"/>
      <c r="M37" s="4">
        <f>SUM(K37-I37)</f>
        <v>6303.25</v>
      </c>
      <c r="O37" s="4">
        <f>52479</f>
        <v>52479</v>
      </c>
      <c r="Q37" s="4">
        <f>SUM(O37-I37)</f>
        <v>18568.25</v>
      </c>
      <c r="S37" s="4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S38" s="4"/>
      <c r="W38" s="12"/>
      <c r="X38" s="4"/>
    </row>
    <row r="39" spans="3:24" s="8" customFormat="1" ht="12.75">
      <c r="C39" s="9" t="s">
        <v>16</v>
      </c>
      <c r="G39" s="10"/>
      <c r="I39" s="10">
        <f>SUM(I37:I37)</f>
        <v>33910.75</v>
      </c>
      <c r="J39" s="10"/>
      <c r="K39" s="10">
        <f>SUM(K37:K37)</f>
        <v>40214</v>
      </c>
      <c r="L39" s="10"/>
      <c r="M39" s="4">
        <f>SUM(K39-I39)</f>
        <v>6303.25</v>
      </c>
      <c r="N39" s="10"/>
      <c r="O39" s="10">
        <f>SUM(O37:O37)</f>
        <v>52479</v>
      </c>
      <c r="Q39" s="4">
        <f>SUM(O39-I39)</f>
        <v>18568.25</v>
      </c>
      <c r="S39" s="10"/>
      <c r="T39" s="9"/>
      <c r="W39" s="35"/>
      <c r="X39" s="10"/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X40" s="10"/>
    </row>
    <row r="41" spans="2:24" ht="12.75">
      <c r="B41" s="18" t="s">
        <v>36</v>
      </c>
      <c r="C41" s="17"/>
      <c r="D41" s="17"/>
      <c r="E41" s="17"/>
      <c r="F41" s="17"/>
      <c r="G41" s="19"/>
      <c r="H41" s="17"/>
      <c r="I41" s="19">
        <f>I34+I39</f>
        <v>468197.3099999999</v>
      </c>
      <c r="J41" s="19"/>
      <c r="K41" s="19">
        <f>K34+K39</f>
        <v>464151.8900000001</v>
      </c>
      <c r="L41" s="19"/>
      <c r="M41" s="19">
        <f>M34+M39</f>
        <v>-4045.41999999998</v>
      </c>
      <c r="N41" s="17"/>
      <c r="O41" s="19">
        <f>O34+O39</f>
        <v>485199.01</v>
      </c>
      <c r="P41" s="17"/>
      <c r="Q41" s="19">
        <f>Q34+Q39</f>
        <v>17001.70000000003</v>
      </c>
      <c r="R41" s="4" t="s">
        <v>18</v>
      </c>
      <c r="S41" s="30"/>
      <c r="T41" s="12"/>
      <c r="U41" s="32" t="s">
        <v>18</v>
      </c>
      <c r="V41" s="12"/>
      <c r="W41" s="12"/>
      <c r="X41" s="30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19" ht="12.75">
      <c r="A43" s="3" t="s">
        <v>22</v>
      </c>
      <c r="G43" s="28"/>
      <c r="H43" s="34"/>
      <c r="I43" s="28">
        <f>I19-I41</f>
        <v>28862.16000000015</v>
      </c>
      <c r="J43" s="28"/>
      <c r="K43" s="28">
        <f>K19-K41</f>
        <v>-1597.5400000000373</v>
      </c>
      <c r="L43" s="28"/>
      <c r="M43" s="28">
        <f>SUM(M41+M19)</f>
        <v>30459.7</v>
      </c>
      <c r="N43" s="34"/>
      <c r="O43" s="28">
        <f>O19-O41</f>
        <v>-57832.29999999999</v>
      </c>
      <c r="P43" s="34"/>
      <c r="Q43" s="28">
        <f>Q19+Q41</f>
        <v>86694.46000000004</v>
      </c>
      <c r="S43" s="36"/>
    </row>
    <row r="44" spans="7:12" ht="12.75">
      <c r="G44" s="4"/>
      <c r="I44" s="4"/>
      <c r="J44" s="4"/>
      <c r="K44" s="4"/>
      <c r="L44" s="4"/>
    </row>
    <row r="45" spans="7:12" ht="12.75">
      <c r="G45" s="4"/>
      <c r="I45" s="4"/>
      <c r="J45" s="4"/>
      <c r="K45" s="4"/>
      <c r="L45" s="4"/>
    </row>
    <row r="46" spans="7:12" ht="12.75">
      <c r="G46" s="4"/>
      <c r="I46" s="4"/>
      <c r="J46" s="4"/>
      <c r="K46" s="4"/>
      <c r="L46" s="4"/>
    </row>
    <row r="47" spans="1:12" ht="12.75">
      <c r="A47" s="3"/>
      <c r="G47" s="4"/>
      <c r="I47" s="4"/>
      <c r="J47" s="4"/>
      <c r="K47" s="4"/>
      <c r="L47" s="4"/>
    </row>
    <row r="48" spans="1:12" ht="12.75">
      <c r="A48" s="3"/>
      <c r="G48" s="4"/>
      <c r="I48" s="4"/>
      <c r="J48" s="4"/>
      <c r="K48" s="4"/>
      <c r="L48" s="4"/>
    </row>
    <row r="49" spans="1:15" ht="12.75">
      <c r="A49" s="3"/>
      <c r="B49" s="3"/>
      <c r="G49" s="4"/>
      <c r="I49" s="4"/>
      <c r="J49" s="4"/>
      <c r="K49" s="4"/>
      <c r="L49" s="4"/>
      <c r="O49" s="5"/>
    </row>
    <row r="50" spans="7:12" ht="12.75">
      <c r="G50" s="4"/>
      <c r="I50" s="4"/>
      <c r="J50" s="4"/>
      <c r="K50" s="4"/>
      <c r="L50" s="4"/>
    </row>
    <row r="51" spans="7:12" ht="12.75">
      <c r="G51" s="4"/>
      <c r="I51" s="4"/>
      <c r="J51" s="4"/>
      <c r="K51" s="4"/>
      <c r="L51" s="4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/>
      <c r="K56" s="4"/>
      <c r="L56" s="4"/>
    </row>
    <row r="57" spans="7:12" ht="12.75">
      <c r="G57" s="4"/>
      <c r="I57" s="4"/>
      <c r="J57" s="4"/>
      <c r="K57" s="4"/>
      <c r="L57" s="4"/>
    </row>
    <row r="58" spans="7:12" ht="12.75">
      <c r="G58" s="4"/>
      <c r="I58" s="4"/>
      <c r="J58" s="4"/>
      <c r="K58" s="4"/>
      <c r="L58" s="4"/>
    </row>
    <row r="59" spans="4:12" ht="12.75">
      <c r="D59" s="29"/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7:12" ht="12.75">
      <c r="G62" s="4"/>
      <c r="I62" s="4"/>
      <c r="J62" s="4"/>
      <c r="K62" s="4"/>
      <c r="L62" s="4"/>
    </row>
  </sheetData>
  <sheetProtection/>
  <printOptions/>
  <pageMargins left="0.7" right="0.7" top="0.75" bottom="0.75" header="0.3" footer="0.3"/>
  <pageSetup fitToHeight="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2"/>
  <sheetViews>
    <sheetView zoomScalePageLayoutView="0" workbookViewId="0" topLeftCell="A16">
      <selection activeCell="A1" sqref="A1:IV16384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21" max="21" width="10.140625" style="0" bestFit="1" customWidth="1"/>
  </cols>
  <sheetData>
    <row r="1" s="1" customFormat="1" ht="18">
      <c r="D1" s="2" t="s">
        <v>0</v>
      </c>
    </row>
    <row r="2" spans="1:15" ht="15">
      <c r="A2" s="3"/>
      <c r="B2" s="3"/>
      <c r="D2" s="6" t="s">
        <v>5</v>
      </c>
      <c r="O2" s="20">
        <v>42012</v>
      </c>
    </row>
    <row r="3" spans="1:18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44</v>
      </c>
      <c r="J5" s="23"/>
      <c r="K5" s="23" t="s">
        <v>45</v>
      </c>
      <c r="L5" s="23"/>
      <c r="M5" s="26" t="s">
        <v>27</v>
      </c>
      <c r="O5" s="23" t="s">
        <v>44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562432.43+141868.26+6200</f>
        <v>710500.6900000001</v>
      </c>
      <c r="J8" s="4"/>
      <c r="K8" s="4">
        <v>692304</v>
      </c>
      <c r="L8" s="4"/>
      <c r="M8" s="4">
        <f aca="true" t="shared" si="0" ref="M8:M14">SUM(I8-K8)</f>
        <v>18196.69000000006</v>
      </c>
      <c r="O8" s="4">
        <f>544034.91+136478.72+4787</f>
        <v>685300.63</v>
      </c>
      <c r="Q8" s="4">
        <f aca="true" t="shared" si="1" ref="Q8:Q14">SUM(I8-O8)</f>
        <v>25200.060000000056</v>
      </c>
      <c r="S8" s="4"/>
      <c r="X8" s="4"/>
    </row>
    <row r="9" spans="4:24" ht="12.75">
      <c r="D9" t="s">
        <v>2</v>
      </c>
      <c r="G9" s="4"/>
      <c r="I9" s="4">
        <f>262113.33-258665.88</f>
        <v>3447.4499999999825</v>
      </c>
      <c r="J9" s="4"/>
      <c r="K9" s="4">
        <v>5500</v>
      </c>
      <c r="L9" s="4"/>
      <c r="M9" s="4">
        <f t="shared" si="0"/>
        <v>-2052.5500000000175</v>
      </c>
      <c r="O9" s="4">
        <f>266855.69-264369.01</f>
        <v>2486.679999999993</v>
      </c>
      <c r="Q9" s="4">
        <f t="shared" si="1"/>
        <v>960.7699999999895</v>
      </c>
      <c r="S9" s="4"/>
      <c r="X9" s="4"/>
    </row>
    <row r="10" spans="4:24" ht="12.75">
      <c r="D10" t="s">
        <v>3</v>
      </c>
      <c r="G10" s="4"/>
      <c r="I10" s="4">
        <v>54727.8</v>
      </c>
      <c r="J10" s="4"/>
      <c r="K10" s="4">
        <v>49438.2</v>
      </c>
      <c r="L10" s="4"/>
      <c r="M10" s="4">
        <f t="shared" si="0"/>
        <v>5289.600000000006</v>
      </c>
      <c r="O10" s="4">
        <f>54307.86</f>
        <v>54307.86</v>
      </c>
      <c r="Q10" s="4">
        <f t="shared" si="1"/>
        <v>419.9400000000023</v>
      </c>
      <c r="S10" s="4"/>
      <c r="X10" s="4"/>
    </row>
    <row r="11" spans="4:24" ht="12.75">
      <c r="D11" t="s">
        <v>31</v>
      </c>
      <c r="G11" s="4"/>
      <c r="I11" s="4">
        <f>14501.08</f>
        <v>14501.08</v>
      </c>
      <c r="J11" s="4"/>
      <c r="K11" s="4">
        <f>13064.01</f>
        <v>13064.01</v>
      </c>
      <c r="L11" s="4"/>
      <c r="M11" s="4">
        <f t="shared" si="0"/>
        <v>1437.0699999999997</v>
      </c>
      <c r="O11" s="4">
        <f>13406.37</f>
        <v>13406.37</v>
      </c>
      <c r="Q11" s="4">
        <f t="shared" si="1"/>
        <v>1094.7099999999991</v>
      </c>
      <c r="S11" s="4"/>
      <c r="X11" s="4"/>
    </row>
    <row r="12" spans="4:24" ht="12.75">
      <c r="D12" t="s">
        <v>30</v>
      </c>
      <c r="G12" s="4"/>
      <c r="I12" s="4">
        <f>6059.33</f>
        <v>6059.33</v>
      </c>
      <c r="J12" s="4"/>
      <c r="K12" s="4">
        <f>6108.38</f>
        <v>6108.38</v>
      </c>
      <c r="L12" s="4"/>
      <c r="M12" s="4">
        <f t="shared" si="0"/>
        <v>-49.05000000000018</v>
      </c>
      <c r="O12" s="4">
        <f>6122.21</f>
        <v>6122.21</v>
      </c>
      <c r="Q12" s="4">
        <f t="shared" si="1"/>
        <v>-62.88000000000011</v>
      </c>
      <c r="S12" s="4"/>
      <c r="X12" s="4"/>
    </row>
    <row r="13" spans="4:24" ht="12.75">
      <c r="D13" t="s">
        <v>29</v>
      </c>
      <c r="G13" s="4"/>
      <c r="I13" s="4">
        <v>0</v>
      </c>
      <c r="J13" s="4"/>
      <c r="K13" s="4">
        <v>0</v>
      </c>
      <c r="L13" s="4"/>
      <c r="M13" s="4">
        <f t="shared" si="0"/>
        <v>0</v>
      </c>
      <c r="O13" s="4">
        <v>0</v>
      </c>
      <c r="Q13" s="4">
        <f t="shared" si="1"/>
        <v>0</v>
      </c>
      <c r="S13" s="4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789236.35</v>
      </c>
      <c r="J16" s="5"/>
      <c r="K16" s="5">
        <f>SUM(K8:K14)</f>
        <v>766414.59</v>
      </c>
      <c r="L16" s="5"/>
      <c r="M16" s="5">
        <f>SUM(M8:M14)</f>
        <v>22821.76000000005</v>
      </c>
      <c r="N16" s="5"/>
      <c r="O16" s="5">
        <f>SUM(O8:O14)</f>
        <v>761623.75</v>
      </c>
      <c r="Q16" s="5">
        <f>SUM(Q8:Q14)</f>
        <v>27612.600000000046</v>
      </c>
      <c r="S16" s="5"/>
      <c r="U16" s="3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12" customFormat="1" ht="12.75">
      <c r="B19" s="52" t="s">
        <v>34</v>
      </c>
      <c r="C19" s="53"/>
      <c r="D19" s="54"/>
      <c r="E19" s="54"/>
      <c r="F19" s="54"/>
      <c r="G19" s="55"/>
      <c r="H19" s="54"/>
      <c r="I19" s="55">
        <f>I16</f>
        <v>789236.35</v>
      </c>
      <c r="J19" s="55"/>
      <c r="K19" s="55">
        <f>K16</f>
        <v>766414.59</v>
      </c>
      <c r="L19" s="55"/>
      <c r="M19" s="55">
        <f>M16</f>
        <v>22821.76000000005</v>
      </c>
      <c r="N19" s="54"/>
      <c r="O19" s="55">
        <f>O16</f>
        <v>761623.75</v>
      </c>
      <c r="P19" s="54"/>
      <c r="Q19" s="56">
        <f>SUM(I19-O19)</f>
        <v>27612.599999999977</v>
      </c>
      <c r="S19" s="30"/>
      <c r="X19" s="30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f>75750</f>
        <v>75750</v>
      </c>
      <c r="J23" s="4"/>
      <c r="K23" s="4">
        <f>70699.98</f>
        <v>70699.98</v>
      </c>
      <c r="L23" s="4"/>
      <c r="M23" s="4">
        <f aca="true" t="shared" si="2" ref="M23:M29">SUM(K23-I23)</f>
        <v>-5050.020000000004</v>
      </c>
      <c r="O23" s="4">
        <f>75731.5</f>
        <v>75731.5</v>
      </c>
      <c r="Q23" s="4">
        <f aca="true" t="shared" si="3" ref="Q23:Q29">SUM(O23-I23)</f>
        <v>-18.5</v>
      </c>
      <c r="S23" s="4"/>
      <c r="X23" s="4"/>
    </row>
    <row r="24" spans="3:24" ht="12.75">
      <c r="C24" t="s">
        <v>9</v>
      </c>
      <c r="G24" s="4"/>
      <c r="I24" s="4">
        <f>33146.79+194457.07+20078.06+29463.22</f>
        <v>277145.14</v>
      </c>
      <c r="J24" s="4"/>
      <c r="K24" s="4">
        <v>268940</v>
      </c>
      <c r="L24" s="4"/>
      <c r="M24" s="4">
        <f t="shared" si="2"/>
        <v>-8205.140000000014</v>
      </c>
      <c r="O24" s="4">
        <f>34254.44+196158.31+19750.5+22253.86</f>
        <v>272417.11</v>
      </c>
      <c r="Q24" s="4">
        <f t="shared" si="3"/>
        <v>-4728.030000000028</v>
      </c>
      <c r="S24" s="4"/>
      <c r="X24" s="4"/>
    </row>
    <row r="25" spans="3:24" ht="12.75">
      <c r="C25" s="3" t="s">
        <v>12</v>
      </c>
      <c r="G25" s="4"/>
      <c r="I25" s="4">
        <f>60657.19</f>
        <v>60657.19</v>
      </c>
      <c r="J25" s="4"/>
      <c r="K25" s="4">
        <v>48073</v>
      </c>
      <c r="L25" s="4"/>
      <c r="M25" s="4">
        <f t="shared" si="2"/>
        <v>-12584.190000000002</v>
      </c>
      <c r="O25" s="4">
        <f>51550.38</f>
        <v>51550.38</v>
      </c>
      <c r="Q25" s="4">
        <f t="shared" si="3"/>
        <v>-9106.810000000005</v>
      </c>
      <c r="S25" s="4"/>
      <c r="X25" s="4"/>
    </row>
    <row r="26" spans="3:24" ht="12.75">
      <c r="C26" t="s">
        <v>33</v>
      </c>
      <c r="G26" s="4"/>
      <c r="I26" s="4">
        <f>7007.69+18711.1+4349+16195.38</f>
        <v>46263.17</v>
      </c>
      <c r="J26" s="4" t="s">
        <v>18</v>
      </c>
      <c r="K26" s="4">
        <v>45345</v>
      </c>
      <c r="L26" s="4"/>
      <c r="M26" s="4">
        <f t="shared" si="2"/>
        <v>-918.1699999999983</v>
      </c>
      <c r="O26" s="4">
        <f>5396.7+16693.3+5775.95+15645.72</f>
        <v>43511.67</v>
      </c>
      <c r="Q26" s="4">
        <f t="shared" si="3"/>
        <v>-2751.5</v>
      </c>
      <c r="S26" s="4"/>
      <c r="X26" s="4"/>
    </row>
    <row r="27" spans="3:24" ht="12.75">
      <c r="C27" t="s">
        <v>10</v>
      </c>
      <c r="G27" s="4"/>
      <c r="I27" s="4">
        <f>52334.95</f>
        <v>52334.95</v>
      </c>
      <c r="J27" s="4"/>
      <c r="K27" s="4">
        <f>38132.29</f>
        <v>38132.29</v>
      </c>
      <c r="L27" s="4"/>
      <c r="M27" s="4">
        <f t="shared" si="2"/>
        <v>-14202.659999999996</v>
      </c>
      <c r="O27" s="4">
        <v>41262.98</v>
      </c>
      <c r="Q27" s="4">
        <f t="shared" si="3"/>
        <v>-11071.969999999994</v>
      </c>
      <c r="S27" s="4"/>
      <c r="X27" s="4"/>
    </row>
    <row r="28" spans="3:24" ht="12.75">
      <c r="C28" t="s">
        <v>11</v>
      </c>
      <c r="G28" s="4"/>
      <c r="I28" s="4">
        <f>10887.21</f>
        <v>10887.21</v>
      </c>
      <c r="J28" s="4"/>
      <c r="K28" s="4">
        <f>9760.8</f>
        <v>9760.8</v>
      </c>
      <c r="L28" s="4"/>
      <c r="M28" s="4">
        <f t="shared" si="2"/>
        <v>-1126.4099999999999</v>
      </c>
      <c r="O28" s="4">
        <f>6952.83</f>
        <v>6952.83</v>
      </c>
      <c r="Q28" s="4">
        <f t="shared" si="3"/>
        <v>-3934.379999999999</v>
      </c>
      <c r="S28" s="4"/>
      <c r="X28" s="4"/>
    </row>
    <row r="29" spans="3:24" ht="12.75">
      <c r="C29" s="3" t="s">
        <v>40</v>
      </c>
      <c r="G29" s="4"/>
      <c r="I29" s="4">
        <f>51427.73+21029.79</f>
        <v>72457.52</v>
      </c>
      <c r="J29" s="4"/>
      <c r="K29" s="4">
        <f>42674.52+17763.98</f>
        <v>60438.5</v>
      </c>
      <c r="L29" s="4"/>
      <c r="M29" s="4">
        <f t="shared" si="2"/>
        <v>-12019.020000000004</v>
      </c>
      <c r="O29" s="4">
        <f>55528.89+22789.53</f>
        <v>78318.42</v>
      </c>
      <c r="Q29" s="4">
        <f t="shared" si="3"/>
        <v>5860.899999999994</v>
      </c>
      <c r="S29" s="4"/>
      <c r="X29" s="4"/>
    </row>
    <row r="30" spans="3:24" ht="12.75">
      <c r="C30" s="47" t="s">
        <v>41</v>
      </c>
      <c r="G30" s="4"/>
      <c r="I30" s="4">
        <f>63787.73</f>
        <v>63787.73</v>
      </c>
      <c r="J30" s="4"/>
      <c r="K30" s="4">
        <v>65067</v>
      </c>
      <c r="L30" s="4"/>
      <c r="M30" s="4">
        <f>SUM(K30-I30)</f>
        <v>1279.2699999999968</v>
      </c>
      <c r="O30" s="4">
        <f>69204.23</f>
        <v>69204.23</v>
      </c>
      <c r="Q30" s="4">
        <f>SUM(O30-I30)</f>
        <v>5416.499999999993</v>
      </c>
      <c r="S30" s="4"/>
      <c r="X30" s="4"/>
    </row>
    <row r="31" spans="3:24" ht="12.75">
      <c r="C31" t="s">
        <v>17</v>
      </c>
      <c r="G31" s="4"/>
      <c r="I31" s="4">
        <v>0.41</v>
      </c>
      <c r="J31" s="4"/>
      <c r="K31" s="4">
        <f>21005.82</f>
        <v>21005.82</v>
      </c>
      <c r="L31" s="4"/>
      <c r="M31" s="4">
        <f>SUM(K31-I31)</f>
        <v>21005.41</v>
      </c>
      <c r="O31" s="4">
        <v>0</v>
      </c>
      <c r="Q31" s="4">
        <f>SUM(O31-I31)</f>
        <v>-0.41</v>
      </c>
      <c r="S31" s="4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f>30586.2+11800</f>
        <v>42386.2</v>
      </c>
      <c r="L32" s="39"/>
      <c r="M32" s="4">
        <f>SUM(K32-I32)</f>
        <v>42386.2</v>
      </c>
      <c r="N32" s="42"/>
      <c r="O32" s="39">
        <v>0</v>
      </c>
      <c r="P32" s="42"/>
      <c r="Q32" s="4">
        <f>SUM(O32-I32)</f>
        <v>0</v>
      </c>
      <c r="S32" s="4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X33" s="4"/>
    </row>
    <row r="34" spans="3:24" ht="12.75">
      <c r="C34" s="3" t="s">
        <v>15</v>
      </c>
      <c r="G34" s="5"/>
      <c r="I34" s="5">
        <f>SUM(I23:I32)</f>
        <v>659283.3200000001</v>
      </c>
      <c r="J34" s="5"/>
      <c r="K34" s="5">
        <f>SUM(K23:K32)</f>
        <v>669848.5899999999</v>
      </c>
      <c r="L34" s="5"/>
      <c r="M34" s="5">
        <f>SUM(M23:M32)</f>
        <v>10565.269999999979</v>
      </c>
      <c r="N34" s="4"/>
      <c r="O34" s="5">
        <f>SUM(O23:O32)</f>
        <v>638949.12</v>
      </c>
      <c r="Q34" s="5">
        <f>SUM(Q23:Q32)</f>
        <v>-20334.200000000037</v>
      </c>
      <c r="R34" s="4" t="s">
        <v>18</v>
      </c>
      <c r="S34" s="5"/>
      <c r="T34" s="3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S35" s="5"/>
      <c r="T35" s="3"/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X36" s="4"/>
    </row>
    <row r="37" spans="3:24" ht="12.75">
      <c r="C37" s="29" t="s">
        <v>28</v>
      </c>
      <c r="G37" s="4"/>
      <c r="I37" s="4">
        <f>68321.5</f>
        <v>68321.5</v>
      </c>
      <c r="J37" s="4"/>
      <c r="K37" s="4">
        <f>78534</f>
        <v>78534</v>
      </c>
      <c r="L37" s="4"/>
      <c r="M37" s="4">
        <f>SUM(K37-I37)</f>
        <v>10212.5</v>
      </c>
      <c r="O37" s="4">
        <f>102486.33</f>
        <v>102486.33</v>
      </c>
      <c r="Q37" s="4">
        <f>SUM(O37-I37)</f>
        <v>34164.83</v>
      </c>
      <c r="S37" s="4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S38" s="4"/>
      <c r="W38" s="12"/>
      <c r="X38" s="4"/>
    </row>
    <row r="39" spans="3:24" s="8" customFormat="1" ht="12.75">
      <c r="C39" s="9" t="s">
        <v>16</v>
      </c>
      <c r="G39" s="10"/>
      <c r="I39" s="10">
        <f>SUM(I37:I37)</f>
        <v>68321.5</v>
      </c>
      <c r="J39" s="10"/>
      <c r="K39" s="10">
        <f>SUM(K37:K37)</f>
        <v>78534</v>
      </c>
      <c r="L39" s="10"/>
      <c r="M39" s="4">
        <f>SUM(K39-I39)</f>
        <v>10212.5</v>
      </c>
      <c r="N39" s="10"/>
      <c r="O39" s="10">
        <f>SUM(O37:O37)</f>
        <v>102486.33</v>
      </c>
      <c r="Q39" s="4">
        <f>SUM(O39-I39)</f>
        <v>34164.83</v>
      </c>
      <c r="S39" s="10"/>
      <c r="T39" s="9"/>
      <c r="W39" s="35"/>
      <c r="X39" s="10"/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X40" s="10"/>
    </row>
    <row r="41" spans="2:24" ht="12.75">
      <c r="B41" s="57" t="s">
        <v>36</v>
      </c>
      <c r="C41" s="54"/>
      <c r="D41" s="54"/>
      <c r="E41" s="54"/>
      <c r="F41" s="54"/>
      <c r="G41" s="55"/>
      <c r="H41" s="54"/>
      <c r="I41" s="55">
        <f>I34+I39</f>
        <v>727604.8200000001</v>
      </c>
      <c r="J41" s="55"/>
      <c r="K41" s="55">
        <f>K34+K39</f>
        <v>748382.5899999999</v>
      </c>
      <c r="L41" s="55"/>
      <c r="M41" s="55">
        <f>M34+M39</f>
        <v>20777.76999999998</v>
      </c>
      <c r="N41" s="54"/>
      <c r="O41" s="55">
        <f>O34+O39</f>
        <v>741435.45</v>
      </c>
      <c r="P41" s="54"/>
      <c r="Q41" s="55">
        <f>Q34+Q39</f>
        <v>13830.629999999965</v>
      </c>
      <c r="R41" s="4" t="s">
        <v>18</v>
      </c>
      <c r="S41" s="30"/>
      <c r="T41" s="12"/>
      <c r="U41" s="32" t="s">
        <v>18</v>
      </c>
      <c r="V41" s="12"/>
      <c r="W41" s="12"/>
      <c r="X41" s="30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19" ht="12.75">
      <c r="A43" s="3" t="s">
        <v>22</v>
      </c>
      <c r="G43" s="28"/>
      <c r="H43" s="34"/>
      <c r="I43" s="28">
        <f>I19-I41</f>
        <v>61631.52999999991</v>
      </c>
      <c r="J43" s="28"/>
      <c r="K43" s="28">
        <f>K19-K41</f>
        <v>18032.000000000116</v>
      </c>
      <c r="L43" s="28"/>
      <c r="M43" s="28">
        <f>SUM(M41+M19)</f>
        <v>43599.53000000003</v>
      </c>
      <c r="N43" s="34"/>
      <c r="O43" s="28">
        <f>O19-O41</f>
        <v>20188.300000000047</v>
      </c>
      <c r="P43" s="34"/>
      <c r="Q43" s="28">
        <f>Q19+Q41</f>
        <v>41443.22999999994</v>
      </c>
      <c r="S43" s="36"/>
    </row>
    <row r="44" spans="7:12" ht="12.75">
      <c r="G44" s="4"/>
      <c r="I44" s="4"/>
      <c r="J44" s="4"/>
      <c r="K44" s="4"/>
      <c r="L44" s="4"/>
    </row>
    <row r="45" spans="7:12" ht="12.75">
      <c r="G45" s="4"/>
      <c r="I45" s="4"/>
      <c r="J45" s="4"/>
      <c r="K45" s="4"/>
      <c r="L45" s="4"/>
    </row>
    <row r="46" spans="7:12" ht="12.75">
      <c r="G46" s="4"/>
      <c r="I46" s="4"/>
      <c r="J46" s="4"/>
      <c r="K46" s="4"/>
      <c r="L46" s="4"/>
    </row>
    <row r="47" spans="1:12" ht="12.75">
      <c r="A47" s="3"/>
      <c r="G47" s="4"/>
      <c r="I47" s="4"/>
      <c r="J47" s="4"/>
      <c r="K47" s="4"/>
      <c r="L47" s="4"/>
    </row>
    <row r="48" spans="1:12" ht="12.75">
      <c r="A48" s="3"/>
      <c r="G48" s="4"/>
      <c r="I48" s="4"/>
      <c r="J48" s="4"/>
      <c r="K48" s="4"/>
      <c r="L48" s="4"/>
    </row>
    <row r="49" spans="1:15" ht="12.75">
      <c r="A49" s="3"/>
      <c r="B49" s="3"/>
      <c r="G49" s="4"/>
      <c r="I49" s="4"/>
      <c r="J49" s="4"/>
      <c r="K49" s="4"/>
      <c r="L49" s="4"/>
      <c r="O49" s="5"/>
    </row>
    <row r="50" spans="7:12" ht="12.75">
      <c r="G50" s="4"/>
      <c r="I50" s="4"/>
      <c r="J50" s="4"/>
      <c r="K50" s="4"/>
      <c r="L50" s="4"/>
    </row>
    <row r="51" spans="7:12" ht="12.75">
      <c r="G51" s="4"/>
      <c r="I51" s="4"/>
      <c r="J51" s="4"/>
      <c r="K51" s="4"/>
      <c r="L51" s="4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 t="s">
        <v>18</v>
      </c>
      <c r="K56" s="4"/>
      <c r="L56" s="4"/>
    </row>
    <row r="57" spans="7:12" ht="12.75">
      <c r="G57" s="4"/>
      <c r="I57" s="4"/>
      <c r="J57" s="4"/>
      <c r="K57" s="4"/>
      <c r="L57" s="4"/>
    </row>
    <row r="58" spans="7:12" ht="12.75">
      <c r="G58" s="4"/>
      <c r="I58" s="4"/>
      <c r="J58" s="4"/>
      <c r="K58" s="4"/>
      <c r="L58" s="4"/>
    </row>
    <row r="59" spans="4:12" ht="12.75">
      <c r="D59" s="29"/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7:12" ht="12.75">
      <c r="G62" s="4"/>
      <c r="I62" s="4"/>
      <c r="J62" s="4"/>
      <c r="K62" s="4"/>
      <c r="L62" s="4"/>
    </row>
  </sheetData>
  <sheetProtection/>
  <printOptions/>
  <pageMargins left="0.7" right="0.7" top="0.75" bottom="0.75" header="0.3" footer="0.3"/>
  <pageSetup orientation="landscape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62"/>
  <sheetViews>
    <sheetView zoomScalePageLayoutView="0" workbookViewId="0" topLeftCell="A14">
      <selection activeCell="A14" sqref="A1:IV16384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21" max="21" width="10.140625" style="0" bestFit="1" customWidth="1"/>
  </cols>
  <sheetData>
    <row r="1" s="1" customFormat="1" ht="18">
      <c r="D1" s="2" t="s">
        <v>0</v>
      </c>
    </row>
    <row r="2" spans="1:15" ht="15">
      <c r="A2" s="3"/>
      <c r="B2" s="3"/>
      <c r="D2" s="6" t="s">
        <v>5</v>
      </c>
      <c r="O2" s="20">
        <v>42108</v>
      </c>
    </row>
    <row r="3" spans="1:18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46</v>
      </c>
      <c r="J5" s="23"/>
      <c r="K5" s="23" t="s">
        <v>47</v>
      </c>
      <c r="L5" s="23"/>
      <c r="M5" s="26" t="s">
        <v>27</v>
      </c>
      <c r="O5" s="23" t="s">
        <v>46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881236.95+193169.06+9442.81</f>
        <v>1083848.82</v>
      </c>
      <c r="J8" s="4"/>
      <c r="K8" s="4">
        <f>828050.34+189051.53+7150</f>
        <v>1024251.87</v>
      </c>
      <c r="L8" s="4"/>
      <c r="M8" s="4">
        <f aca="true" t="shared" si="0" ref="M8:M14">SUM(I8-K8)</f>
        <v>59596.95000000007</v>
      </c>
      <c r="O8" s="4">
        <f>822923.16+175812.34+7185.82</f>
        <v>1005921.32</v>
      </c>
      <c r="Q8" s="4">
        <f aca="true" t="shared" si="1" ref="Q8:Q14">SUM(I8-O8)</f>
        <v>77927.50000000012</v>
      </c>
      <c r="S8" s="4"/>
      <c r="X8" s="4"/>
    </row>
    <row r="9" spans="4:24" ht="12.75">
      <c r="D9" t="s">
        <v>2</v>
      </c>
      <c r="G9" s="4"/>
      <c r="I9" s="4">
        <f>447032.3-447529.41-11.32</f>
        <v>-508.429999999986</v>
      </c>
      <c r="J9" s="4"/>
      <c r="K9" s="4">
        <f>408980.6-391833.58</f>
        <v>17147.01999999996</v>
      </c>
      <c r="L9" s="4"/>
      <c r="M9" s="4">
        <f t="shared" si="0"/>
        <v>-17655.449999999946</v>
      </c>
      <c r="O9" s="4">
        <f>388799.75-383810.89</f>
        <v>4988.859999999986</v>
      </c>
      <c r="Q9" s="4">
        <f t="shared" si="1"/>
        <v>-5497.289999999972</v>
      </c>
      <c r="S9" s="4"/>
      <c r="X9" s="4"/>
    </row>
    <row r="10" spans="4:24" ht="12.75">
      <c r="D10" t="s">
        <v>3</v>
      </c>
      <c r="G10" s="4"/>
      <c r="I10" s="4">
        <f>72396.81</f>
        <v>72396.81</v>
      </c>
      <c r="J10" s="4"/>
      <c r="K10" s="4">
        <f>64061.32</f>
        <v>64061.32</v>
      </c>
      <c r="L10" s="4"/>
      <c r="M10" s="4">
        <f t="shared" si="0"/>
        <v>8335.489999999998</v>
      </c>
      <c r="O10" s="4">
        <f>68790.4</f>
        <v>68790.4</v>
      </c>
      <c r="Q10" s="4">
        <f t="shared" si="1"/>
        <v>3606.4100000000035</v>
      </c>
      <c r="S10" s="4"/>
      <c r="X10" s="4"/>
    </row>
    <row r="11" spans="4:24" ht="12.75">
      <c r="D11" t="s">
        <v>31</v>
      </c>
      <c r="G11" s="4"/>
      <c r="I11" s="4">
        <f>20688.36</f>
        <v>20688.36</v>
      </c>
      <c r="J11" s="4"/>
      <c r="K11" s="4">
        <f>21404.05</f>
        <v>21404.05</v>
      </c>
      <c r="L11" s="4"/>
      <c r="M11" s="4">
        <f t="shared" si="0"/>
        <v>-715.6899999999987</v>
      </c>
      <c r="O11" s="4">
        <f>21406.65</f>
        <v>21406.65</v>
      </c>
      <c r="Q11" s="4">
        <f t="shared" si="1"/>
        <v>-718.2900000000009</v>
      </c>
      <c r="S11" s="4"/>
      <c r="X11" s="4"/>
    </row>
    <row r="12" spans="4:24" ht="12.75">
      <c r="D12" t="s">
        <v>30</v>
      </c>
      <c r="G12" s="4"/>
      <c r="I12" s="4">
        <f>6481.52</f>
        <v>6481.52</v>
      </c>
      <c r="J12" s="4"/>
      <c r="K12" s="4">
        <f>12387.75</f>
        <v>12387.75</v>
      </c>
      <c r="L12" s="4"/>
      <c r="M12" s="4">
        <f t="shared" si="0"/>
        <v>-5906.23</v>
      </c>
      <c r="O12" s="4">
        <f>12387.84</f>
        <v>12387.84</v>
      </c>
      <c r="Q12" s="4">
        <f t="shared" si="1"/>
        <v>-5906.32</v>
      </c>
      <c r="S12" s="4"/>
      <c r="X12" s="4"/>
    </row>
    <row r="13" spans="4:24" ht="12.75">
      <c r="D13" t="s">
        <v>29</v>
      </c>
      <c r="G13" s="4"/>
      <c r="I13" s="4">
        <v>0</v>
      </c>
      <c r="J13" s="4"/>
      <c r="K13" s="4">
        <v>0</v>
      </c>
      <c r="L13" s="4"/>
      <c r="M13" s="4">
        <f t="shared" si="0"/>
        <v>0</v>
      </c>
      <c r="O13" s="4">
        <v>0</v>
      </c>
      <c r="Q13" s="4">
        <f t="shared" si="1"/>
        <v>0</v>
      </c>
      <c r="S13" s="4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1182907.0800000003</v>
      </c>
      <c r="J16" s="5"/>
      <c r="K16" s="5">
        <f>SUM(K8:K14)</f>
        <v>1139252.01</v>
      </c>
      <c r="L16" s="5"/>
      <c r="M16" s="5">
        <f>SUM(M8:M14)</f>
        <v>43655.07000000012</v>
      </c>
      <c r="N16" s="5"/>
      <c r="O16" s="5">
        <f>SUM(O8:O14)</f>
        <v>1113495.0699999998</v>
      </c>
      <c r="Q16" s="5">
        <f>SUM(Q8:Q14)</f>
        <v>69412.01000000013</v>
      </c>
      <c r="S16" s="5"/>
      <c r="U16" s="3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12" customFormat="1" ht="12.75">
      <c r="B19" s="52" t="s">
        <v>34</v>
      </c>
      <c r="C19" s="53"/>
      <c r="D19" s="54"/>
      <c r="E19" s="54"/>
      <c r="F19" s="54"/>
      <c r="G19" s="55"/>
      <c r="H19" s="54"/>
      <c r="I19" s="55">
        <f>I16</f>
        <v>1182907.0800000003</v>
      </c>
      <c r="J19" s="55"/>
      <c r="K19" s="55">
        <f>K16</f>
        <v>1139252.01</v>
      </c>
      <c r="L19" s="55"/>
      <c r="M19" s="55">
        <f>M16</f>
        <v>43655.07000000012</v>
      </c>
      <c r="N19" s="54"/>
      <c r="O19" s="55">
        <f>O16</f>
        <v>1113495.0699999998</v>
      </c>
      <c r="P19" s="54"/>
      <c r="Q19" s="56">
        <f>SUM(I19-O19)</f>
        <v>69412.01000000047</v>
      </c>
      <c r="S19" s="30"/>
      <c r="X19" s="30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113625</v>
      </c>
      <c r="J23" s="4"/>
      <c r="K23" s="4">
        <f>106049.97</f>
        <v>106049.97</v>
      </c>
      <c r="L23" s="4"/>
      <c r="M23" s="4">
        <f aca="true" t="shared" si="2" ref="M23:M29">SUM(K23-I23)</f>
        <v>-7575.029999999999</v>
      </c>
      <c r="O23" s="4">
        <f>113597.25</f>
        <v>113597.25</v>
      </c>
      <c r="Q23" s="4">
        <f aca="true" t="shared" si="3" ref="Q23:Q29">SUM(O23-I23)</f>
        <v>-27.75</v>
      </c>
      <c r="S23" s="4"/>
      <c r="X23" s="4"/>
    </row>
    <row r="24" spans="3:24" ht="12.75">
      <c r="C24" t="s">
        <v>9</v>
      </c>
      <c r="G24" s="4"/>
      <c r="I24" s="4">
        <f>47243.25+277948.38+30117.05+47187</f>
        <v>402495.68</v>
      </c>
      <c r="J24" s="4"/>
      <c r="K24" s="4">
        <f>43446.1+285428.86+28214.82+26823.37</f>
        <v>383913.14999999997</v>
      </c>
      <c r="L24" s="4"/>
      <c r="M24" s="4">
        <f t="shared" si="2"/>
        <v>-18582.530000000028</v>
      </c>
      <c r="O24" s="4">
        <f>285471.57+29625.75+27306.2+45994.86</f>
        <v>388398.38</v>
      </c>
      <c r="Q24" s="4">
        <f t="shared" si="3"/>
        <v>-14097.299999999988</v>
      </c>
      <c r="S24" s="4"/>
      <c r="X24" s="4"/>
    </row>
    <row r="25" spans="3:24" ht="12.75">
      <c r="C25" s="3" t="s">
        <v>12</v>
      </c>
      <c r="G25" s="4"/>
      <c r="I25" s="4">
        <f>96019.9</f>
        <v>96019.9</v>
      </c>
      <c r="J25" s="4"/>
      <c r="K25" s="4">
        <f>74549.87</f>
        <v>74549.87</v>
      </c>
      <c r="L25" s="4"/>
      <c r="M25" s="4">
        <f t="shared" si="2"/>
        <v>-21470.03</v>
      </c>
      <c r="O25" s="4">
        <f>81560.35</f>
        <v>81560.35</v>
      </c>
      <c r="Q25" s="4">
        <f t="shared" si="3"/>
        <v>-14459.549999999988</v>
      </c>
      <c r="S25" s="4"/>
      <c r="X25" s="4"/>
    </row>
    <row r="26" spans="3:24" ht="12.75">
      <c r="C26" t="s">
        <v>33</v>
      </c>
      <c r="G26" s="4"/>
      <c r="I26" s="4">
        <f>23451.17+24537.83+6610.54+23219.93</f>
        <v>77819.47</v>
      </c>
      <c r="J26" s="4" t="s">
        <v>18</v>
      </c>
      <c r="K26" s="4">
        <f>15081.83+21191.36+10758.66+22517.07</f>
        <v>69548.92000000001</v>
      </c>
      <c r="L26" s="4"/>
      <c r="M26" s="4">
        <f t="shared" si="2"/>
        <v>-8270.549999999988</v>
      </c>
      <c r="O26" s="4">
        <f>8796.91+21661.25+11880.09+24489.22</f>
        <v>66827.47</v>
      </c>
      <c r="Q26" s="4">
        <f t="shared" si="3"/>
        <v>-10992</v>
      </c>
      <c r="S26" s="4"/>
      <c r="X26" s="4"/>
    </row>
    <row r="27" spans="3:24" ht="12.75">
      <c r="C27" t="s">
        <v>10</v>
      </c>
      <c r="G27" s="4"/>
      <c r="I27" s="4">
        <f>64643.01</f>
        <v>64643.01</v>
      </c>
      <c r="J27" s="4"/>
      <c r="K27" s="4">
        <f>48218.46</f>
        <v>48218.46</v>
      </c>
      <c r="L27" s="4"/>
      <c r="M27" s="4">
        <f t="shared" si="2"/>
        <v>-16424.550000000003</v>
      </c>
      <c r="O27" s="4">
        <f>51786.04</f>
        <v>51786.04</v>
      </c>
      <c r="Q27" s="4">
        <f t="shared" si="3"/>
        <v>-12856.970000000001</v>
      </c>
      <c r="S27" s="4"/>
      <c r="X27" s="4"/>
    </row>
    <row r="28" spans="3:24" ht="12.75">
      <c r="C28" t="s">
        <v>11</v>
      </c>
      <c r="G28" s="4"/>
      <c r="I28" s="4">
        <f>17883.92</f>
        <v>17883.92</v>
      </c>
      <c r="J28" s="4"/>
      <c r="K28" s="4">
        <f>15657.41</f>
        <v>15657.41</v>
      </c>
      <c r="L28" s="4"/>
      <c r="M28" s="4">
        <f t="shared" si="2"/>
        <v>-2226.5099999999984</v>
      </c>
      <c r="O28" s="4">
        <f>10991.82</f>
        <v>10991.82</v>
      </c>
      <c r="Q28" s="4">
        <f t="shared" si="3"/>
        <v>-6892.0999999999985</v>
      </c>
      <c r="S28" s="4"/>
      <c r="X28" s="4"/>
    </row>
    <row r="29" spans="3:24" ht="12.75">
      <c r="C29" s="3" t="s">
        <v>40</v>
      </c>
      <c r="G29" s="4"/>
      <c r="I29" s="4">
        <f>72332.11+41329.68</f>
        <v>113661.79000000001</v>
      </c>
      <c r="J29" s="4"/>
      <c r="K29" s="4">
        <f>76648.45+35926.23</f>
        <v>112574.68</v>
      </c>
      <c r="L29" s="4"/>
      <c r="M29" s="4">
        <f t="shared" si="2"/>
        <v>-1087.1100000000151</v>
      </c>
      <c r="O29" s="4">
        <f>98535.35+45704.69</f>
        <v>144240.04</v>
      </c>
      <c r="Q29" s="4">
        <f t="shared" si="3"/>
        <v>30578.25</v>
      </c>
      <c r="S29" s="4"/>
      <c r="X29" s="4"/>
    </row>
    <row r="30" spans="3:24" ht="12.75">
      <c r="C30" s="47" t="s">
        <v>41</v>
      </c>
      <c r="G30" s="4"/>
      <c r="I30" s="4">
        <f>85549.25</f>
        <v>85549.25</v>
      </c>
      <c r="J30" s="4"/>
      <c r="K30" s="4">
        <f>117238.79</f>
        <v>117238.79</v>
      </c>
      <c r="L30" s="4"/>
      <c r="M30" s="4">
        <f>SUM(K30-I30)</f>
        <v>31689.539999999994</v>
      </c>
      <c r="O30" s="4">
        <f>111778.62</f>
        <v>111778.62</v>
      </c>
      <c r="Q30" s="4">
        <f>SUM(O30-I30)</f>
        <v>26229.369999999995</v>
      </c>
      <c r="S30" s="4"/>
      <c r="X30" s="4"/>
    </row>
    <row r="31" spans="3:24" ht="12.75">
      <c r="C31" t="s">
        <v>17</v>
      </c>
      <c r="G31" s="4"/>
      <c r="I31" s="4">
        <v>0.41</v>
      </c>
      <c r="J31" s="4"/>
      <c r="K31" s="4">
        <f>63934.95</f>
        <v>63934.95</v>
      </c>
      <c r="L31" s="4"/>
      <c r="M31" s="4">
        <f>SUM(K31-I31)</f>
        <v>63934.53999999999</v>
      </c>
      <c r="O31" s="4">
        <v>0</v>
      </c>
      <c r="Q31" s="4">
        <f>SUM(O31-I31)</f>
        <v>-0.41</v>
      </c>
      <c r="S31" s="4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f>96583</f>
        <v>96583</v>
      </c>
      <c r="J32" s="39"/>
      <c r="K32" s="39">
        <f>30586.2+11800</f>
        <v>42386.2</v>
      </c>
      <c r="L32" s="39"/>
      <c r="M32" s="4">
        <f>SUM(K32-I32)</f>
        <v>-54196.8</v>
      </c>
      <c r="N32" s="42"/>
      <c r="O32" s="39">
        <v>0</v>
      </c>
      <c r="P32" s="42"/>
      <c r="Q32" s="4">
        <f>SUM(O32-I32)</f>
        <v>-96583</v>
      </c>
      <c r="S32" s="4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X33" s="4"/>
    </row>
    <row r="34" spans="3:24" ht="12.75">
      <c r="C34" s="3" t="s">
        <v>15</v>
      </c>
      <c r="G34" s="5"/>
      <c r="I34" s="5">
        <f>SUM(I23:I32)</f>
        <v>1068281.4300000002</v>
      </c>
      <c r="J34" s="5"/>
      <c r="K34" s="5">
        <f>SUM(K23:K32)</f>
        <v>1034072.3999999999</v>
      </c>
      <c r="L34" s="5"/>
      <c r="M34" s="5">
        <f>SUM(M23:M32)</f>
        <v>-34209.03000000004</v>
      </c>
      <c r="N34" s="4"/>
      <c r="O34" s="5">
        <f>SUM(O23:O32)</f>
        <v>969179.97</v>
      </c>
      <c r="Q34" s="5">
        <f>SUM(Q23:Q32)</f>
        <v>-99101.45999999998</v>
      </c>
      <c r="R34" s="4" t="s">
        <v>18</v>
      </c>
      <c r="S34" s="5"/>
      <c r="T34" s="3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S35" s="5"/>
      <c r="T35" s="3"/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X36" s="4"/>
    </row>
    <row r="37" spans="3:24" ht="12.75">
      <c r="C37" s="29" t="s">
        <v>28</v>
      </c>
      <c r="G37" s="4"/>
      <c r="I37" s="4">
        <v>151043</v>
      </c>
      <c r="J37" s="4"/>
      <c r="K37" s="4">
        <v>156974</v>
      </c>
      <c r="L37" s="4"/>
      <c r="M37" s="4">
        <f>SUM(K37-I37)</f>
        <v>5931</v>
      </c>
      <c r="O37" s="4">
        <f>204850</f>
        <v>204850</v>
      </c>
      <c r="Q37" s="4">
        <f>SUM(O37-I37)</f>
        <v>53807</v>
      </c>
      <c r="S37" s="4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S38" s="4"/>
      <c r="W38" s="12"/>
      <c r="X38" s="4"/>
    </row>
    <row r="39" spans="3:24" s="8" customFormat="1" ht="12.75">
      <c r="C39" s="9" t="s">
        <v>16</v>
      </c>
      <c r="G39" s="10"/>
      <c r="I39" s="10">
        <f>SUM(I37:I37)</f>
        <v>151043</v>
      </c>
      <c r="J39" s="10"/>
      <c r="K39" s="10">
        <f>SUM(K37:K37)</f>
        <v>156974</v>
      </c>
      <c r="L39" s="10"/>
      <c r="M39" s="4">
        <f>SUM(K39-I39)</f>
        <v>5931</v>
      </c>
      <c r="N39" s="10"/>
      <c r="O39" s="10">
        <f>SUM(O37:O37)</f>
        <v>204850</v>
      </c>
      <c r="Q39" s="4">
        <f>SUM(O39-I39)</f>
        <v>53807</v>
      </c>
      <c r="S39" s="10"/>
      <c r="T39" s="9"/>
      <c r="W39" s="35"/>
      <c r="X39" s="10"/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X40" s="10"/>
    </row>
    <row r="41" spans="2:24" ht="12.75">
      <c r="B41" s="57" t="s">
        <v>36</v>
      </c>
      <c r="C41" s="54"/>
      <c r="D41" s="54"/>
      <c r="E41" s="54"/>
      <c r="F41" s="54"/>
      <c r="G41" s="55"/>
      <c r="H41" s="54"/>
      <c r="I41" s="55">
        <f>I34+I39</f>
        <v>1219324.4300000002</v>
      </c>
      <c r="J41" s="55"/>
      <c r="K41" s="55">
        <f>K34+K39</f>
        <v>1191046.4</v>
      </c>
      <c r="L41" s="55"/>
      <c r="M41" s="55">
        <f>M34+M39</f>
        <v>-28278.030000000042</v>
      </c>
      <c r="N41" s="54"/>
      <c r="O41" s="55">
        <f>O34+O39</f>
        <v>1174029.97</v>
      </c>
      <c r="P41" s="54"/>
      <c r="Q41" s="55">
        <f>Q34+Q39</f>
        <v>-45294.45999999998</v>
      </c>
      <c r="R41" s="4" t="s">
        <v>18</v>
      </c>
      <c r="S41" s="30"/>
      <c r="T41" s="12"/>
      <c r="U41" s="32" t="s">
        <v>18</v>
      </c>
      <c r="V41" s="12"/>
      <c r="W41" s="12"/>
      <c r="X41" s="30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19" ht="12.75">
      <c r="A43" s="3" t="s">
        <v>22</v>
      </c>
      <c r="G43" s="28"/>
      <c r="H43" s="34"/>
      <c r="I43" s="28">
        <f>I19-I41</f>
        <v>-36417.34999999986</v>
      </c>
      <c r="J43" s="28"/>
      <c r="K43" s="28">
        <f>K19-K41</f>
        <v>-51794.3899999999</v>
      </c>
      <c r="L43" s="28"/>
      <c r="M43" s="28">
        <f>SUM(M41+M19)</f>
        <v>15377.04000000008</v>
      </c>
      <c r="N43" s="34"/>
      <c r="O43" s="28">
        <f>O19-O41</f>
        <v>-60534.90000000014</v>
      </c>
      <c r="P43" s="34"/>
      <c r="Q43" s="28">
        <f>Q19+Q41</f>
        <v>24117.550000000498</v>
      </c>
      <c r="S43" s="36"/>
    </row>
    <row r="44" spans="7:12" ht="12.75">
      <c r="G44" s="4"/>
      <c r="I44" s="4"/>
      <c r="J44" s="4"/>
      <c r="K44" s="4"/>
      <c r="L44" s="4"/>
    </row>
    <row r="45" spans="7:12" ht="12.75">
      <c r="G45" s="4"/>
      <c r="I45" s="4"/>
      <c r="J45" s="4"/>
      <c r="K45" s="4"/>
      <c r="L45" s="4"/>
    </row>
    <row r="46" spans="7:12" ht="12.75">
      <c r="G46" s="4"/>
      <c r="I46" s="4"/>
      <c r="J46" s="4"/>
      <c r="K46" s="4"/>
      <c r="L46" s="4"/>
    </row>
    <row r="47" spans="1:12" ht="12.75">
      <c r="A47" s="3"/>
      <c r="G47" s="4"/>
      <c r="I47" s="4"/>
      <c r="J47" s="4"/>
      <c r="K47" s="4"/>
      <c r="L47" s="4"/>
    </row>
    <row r="48" spans="1:12" ht="12.75">
      <c r="A48" s="3"/>
      <c r="G48" s="4"/>
      <c r="I48" s="4"/>
      <c r="J48" s="4"/>
      <c r="K48" s="4"/>
      <c r="L48" s="4"/>
    </row>
    <row r="49" spans="1:15" ht="12.75">
      <c r="A49" s="3"/>
      <c r="B49" s="3"/>
      <c r="G49" s="4"/>
      <c r="I49" s="4"/>
      <c r="J49" s="4"/>
      <c r="K49" s="4"/>
      <c r="L49" s="4"/>
      <c r="O49" s="5"/>
    </row>
    <row r="50" spans="7:12" ht="12.75">
      <c r="G50" s="4"/>
      <c r="I50" s="4"/>
      <c r="J50" s="4"/>
      <c r="K50" s="4"/>
      <c r="L50" s="4"/>
    </row>
    <row r="51" spans="7:12" ht="12.75">
      <c r="G51" s="4"/>
      <c r="I51" s="4"/>
      <c r="J51" s="4"/>
      <c r="K51" s="4"/>
      <c r="L51" s="4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 t="s">
        <v>18</v>
      </c>
      <c r="K56" s="4"/>
      <c r="L56" s="4"/>
    </row>
    <row r="57" spans="7:12" ht="12.75">
      <c r="G57" s="4"/>
      <c r="I57" s="4"/>
      <c r="J57" s="4"/>
      <c r="K57" s="4"/>
      <c r="L57" s="4"/>
    </row>
    <row r="58" spans="7:12" ht="12.75">
      <c r="G58" s="4"/>
      <c r="I58" s="4"/>
      <c r="J58" s="4"/>
      <c r="K58" s="4"/>
      <c r="L58" s="4"/>
    </row>
    <row r="59" spans="4:12" ht="12.75">
      <c r="D59" s="29"/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7:12" ht="12.75">
      <c r="G62" s="4"/>
      <c r="I62" s="4"/>
      <c r="J62" s="4"/>
      <c r="K62" s="4"/>
      <c r="L62" s="4"/>
    </row>
  </sheetData>
  <sheetProtection/>
  <printOptions/>
  <pageMargins left="0.7" right="0.7" top="0.75" bottom="0.75" header="0.3" footer="0.3"/>
  <pageSetup orientation="landscape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62"/>
  <sheetViews>
    <sheetView zoomScalePageLayoutView="0" workbookViewId="0" topLeftCell="A13">
      <selection activeCell="Q39" sqref="Q39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21" max="21" width="10.140625" style="0" bestFit="1" customWidth="1"/>
  </cols>
  <sheetData>
    <row r="1" s="1" customFormat="1" ht="18">
      <c r="D1" s="2" t="s">
        <v>0</v>
      </c>
    </row>
    <row r="2" spans="1:15" ht="15">
      <c r="A2" s="3"/>
      <c r="B2" s="3"/>
      <c r="D2" s="6" t="s">
        <v>5</v>
      </c>
      <c r="O2" s="20">
        <v>42200</v>
      </c>
    </row>
    <row r="3" spans="1:18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48</v>
      </c>
      <c r="J5" s="23"/>
      <c r="K5" s="23" t="s">
        <v>49</v>
      </c>
      <c r="L5" s="23"/>
      <c r="M5" s="26" t="s">
        <v>27</v>
      </c>
      <c r="O5" s="23" t="s">
        <v>48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940546.75+261319.11+9692.81</f>
        <v>1211558.67</v>
      </c>
      <c r="J8" s="4"/>
      <c r="K8" s="4">
        <f>915367.2+244159.02+7850</f>
        <v>1167376.22</v>
      </c>
      <c r="L8" s="4"/>
      <c r="M8" s="4">
        <f aca="true" t="shared" si="0" ref="M8:M14">SUM(I8-K8)</f>
        <v>44182.44999999995</v>
      </c>
      <c r="O8" s="4">
        <f>909699.37+226842.28+7900.36</f>
        <v>1144442.01</v>
      </c>
      <c r="Q8" s="4">
        <f aca="true" t="shared" si="1" ref="Q8:Q14">SUM(I8-O8)</f>
        <v>67116.65999999992</v>
      </c>
      <c r="S8" s="4"/>
      <c r="X8" s="4"/>
    </row>
    <row r="9" spans="4:24" ht="12.75">
      <c r="D9" t="s">
        <v>2</v>
      </c>
      <c r="G9" s="4"/>
      <c r="I9" s="4">
        <f>450485.68-450211.4-11.32</f>
        <v>262.95999999996974</v>
      </c>
      <c r="J9" s="4"/>
      <c r="K9" s="4">
        <f>441185.69-427709.77</f>
        <v>13475.919999999984</v>
      </c>
      <c r="L9" s="4"/>
      <c r="M9" s="4">
        <f t="shared" si="0"/>
        <v>-13212.960000000014</v>
      </c>
      <c r="O9" s="4">
        <f>420646.44-445426.82</f>
        <v>-24780.380000000005</v>
      </c>
      <c r="Q9" s="4">
        <f t="shared" si="1"/>
        <v>25043.339999999975</v>
      </c>
      <c r="S9" s="4"/>
      <c r="X9" s="4"/>
    </row>
    <row r="10" spans="4:24" ht="12.75">
      <c r="D10" t="s">
        <v>3</v>
      </c>
      <c r="G10" s="4"/>
      <c r="I10" s="4">
        <f>74101.81</f>
        <v>74101.81</v>
      </c>
      <c r="J10" s="4"/>
      <c r="K10" s="4">
        <f>68878.35</f>
        <v>68878.35</v>
      </c>
      <c r="L10" s="4"/>
      <c r="M10" s="4">
        <f t="shared" si="0"/>
        <v>5223.459999999992</v>
      </c>
      <c r="O10" s="4">
        <f>74750.32</f>
        <v>74750.32</v>
      </c>
      <c r="Q10" s="4">
        <f t="shared" si="1"/>
        <v>-648.5100000000093</v>
      </c>
      <c r="S10" s="4"/>
      <c r="X10" s="4"/>
    </row>
    <row r="11" spans="4:24" ht="12.75">
      <c r="D11" t="s">
        <v>31</v>
      </c>
      <c r="G11" s="4"/>
      <c r="I11" s="4">
        <f>23519.32</f>
        <v>23519.32</v>
      </c>
      <c r="J11" s="4"/>
      <c r="K11" s="4">
        <f>21477.32</f>
        <v>21477.32</v>
      </c>
      <c r="L11" s="4"/>
      <c r="M11" s="4">
        <f t="shared" si="0"/>
        <v>2042</v>
      </c>
      <c r="O11" s="4">
        <f>21471.24</f>
        <v>21471.24</v>
      </c>
      <c r="Q11" s="4">
        <f t="shared" si="1"/>
        <v>2048.079999999998</v>
      </c>
      <c r="S11" s="4"/>
      <c r="X11" s="4"/>
    </row>
    <row r="12" spans="4:24" ht="12.75">
      <c r="D12" t="s">
        <v>30</v>
      </c>
      <c r="G12" s="4"/>
      <c r="I12" s="4">
        <f>18327.07</f>
        <v>18327.07</v>
      </c>
      <c r="J12" s="4"/>
      <c r="K12" s="4">
        <f>12387.75</f>
        <v>12387.75</v>
      </c>
      <c r="L12" s="4"/>
      <c r="M12" s="4">
        <f t="shared" si="0"/>
        <v>5939.32</v>
      </c>
      <c r="O12" s="4">
        <f>12387.84</f>
        <v>12387.84</v>
      </c>
      <c r="Q12" s="4">
        <f t="shared" si="1"/>
        <v>5939.23</v>
      </c>
      <c r="S12" s="4"/>
      <c r="X12" s="4"/>
    </row>
    <row r="13" spans="4:24" ht="12.75">
      <c r="D13" t="s">
        <v>29</v>
      </c>
      <c r="G13" s="4"/>
      <c r="I13" s="4">
        <v>0</v>
      </c>
      <c r="J13" s="4"/>
      <c r="K13" s="4">
        <f>24670</f>
        <v>24670</v>
      </c>
      <c r="L13" s="4"/>
      <c r="M13" s="4">
        <f t="shared" si="0"/>
        <v>-24670</v>
      </c>
      <c r="O13" s="4">
        <f>2172.08</f>
        <v>2172.08</v>
      </c>
      <c r="Q13" s="4">
        <f t="shared" si="1"/>
        <v>-2172.08</v>
      </c>
      <c r="S13" s="4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1327769.83</v>
      </c>
      <c r="J16" s="5"/>
      <c r="K16" s="5">
        <f>SUM(K8:K14)</f>
        <v>1308265.56</v>
      </c>
      <c r="L16" s="5"/>
      <c r="M16" s="5">
        <f>SUM(M8:M14)</f>
        <v>19504.26999999993</v>
      </c>
      <c r="N16" s="5"/>
      <c r="O16" s="5">
        <f>SUM(O8:O14)</f>
        <v>1230443.11</v>
      </c>
      <c r="Q16" s="5">
        <f>SUM(Q8:Q14)</f>
        <v>97326.71999999987</v>
      </c>
      <c r="S16" s="5"/>
      <c r="U16" s="3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12" customFormat="1" ht="12.75">
      <c r="B19" s="52" t="s">
        <v>34</v>
      </c>
      <c r="C19" s="53"/>
      <c r="D19" s="54"/>
      <c r="E19" s="54"/>
      <c r="F19" s="54"/>
      <c r="G19" s="55"/>
      <c r="H19" s="54"/>
      <c r="I19" s="55">
        <f>I16</f>
        <v>1327769.83</v>
      </c>
      <c r="J19" s="55"/>
      <c r="K19" s="55">
        <f>K16</f>
        <v>1308265.56</v>
      </c>
      <c r="L19" s="55"/>
      <c r="M19" s="55">
        <f>M16</f>
        <v>19504.26999999993</v>
      </c>
      <c r="N19" s="54"/>
      <c r="O19" s="55">
        <f>O16</f>
        <v>1230443.11</v>
      </c>
      <c r="P19" s="54"/>
      <c r="Q19" s="56">
        <f>SUM(I19-O19)</f>
        <v>97326.71999999997</v>
      </c>
      <c r="S19" s="30"/>
      <c r="X19" s="30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f>126250</f>
        <v>126250</v>
      </c>
      <c r="J23" s="4"/>
      <c r="K23" s="4">
        <f>117833.3</f>
        <v>117833.3</v>
      </c>
      <c r="L23" s="4"/>
      <c r="M23" s="4">
        <f aca="true" t="shared" si="2" ref="M23:M29">SUM(K23-I23)</f>
        <v>-8416.699999999997</v>
      </c>
      <c r="O23" s="4">
        <v>126219.17</v>
      </c>
      <c r="Q23" s="4">
        <f aca="true" t="shared" si="3" ref="Q23:Q29">SUM(O23-I23)</f>
        <v>-30.830000000001746</v>
      </c>
      <c r="S23" s="4"/>
      <c r="X23" s="4"/>
    </row>
    <row r="24" spans="3:24" ht="12.75">
      <c r="C24" t="s">
        <v>9</v>
      </c>
      <c r="G24" s="4"/>
      <c r="I24" s="4">
        <f>53397.93+318380.26+33463.38+50878.18</f>
        <v>456119.75</v>
      </c>
      <c r="J24" s="4"/>
      <c r="K24" s="4">
        <f>50093.75+330506.07+31349.8+30810.88</f>
        <v>442760.5</v>
      </c>
      <c r="L24" s="4"/>
      <c r="M24" s="4">
        <f t="shared" si="2"/>
        <v>-13359.25</v>
      </c>
      <c r="O24" s="4">
        <f>330555.52+53177.12+32917.5+31496.76</f>
        <v>448146.9</v>
      </c>
      <c r="Q24" s="4">
        <f t="shared" si="3"/>
        <v>-7972.849999999977</v>
      </c>
      <c r="S24" s="4"/>
      <c r="X24" s="4"/>
    </row>
    <row r="25" spans="3:24" ht="12.75">
      <c r="C25" s="3" t="s">
        <v>12</v>
      </c>
      <c r="G25" s="4"/>
      <c r="I25" s="4">
        <f>107403.85</f>
        <v>107403.85</v>
      </c>
      <c r="J25" s="4"/>
      <c r="K25" s="4">
        <f>83456.86</f>
        <v>83456.86</v>
      </c>
      <c r="L25" s="4"/>
      <c r="M25" s="4">
        <f t="shared" si="2"/>
        <v>-23946.990000000005</v>
      </c>
      <c r="O25" s="4">
        <f>90637.58</f>
        <v>90637.58</v>
      </c>
      <c r="Q25" s="4">
        <f t="shared" si="3"/>
        <v>-16766.270000000004</v>
      </c>
      <c r="S25" s="4"/>
      <c r="X25" s="4"/>
    </row>
    <row r="26" spans="3:24" ht="12.75">
      <c r="C26" t="s">
        <v>33</v>
      </c>
      <c r="G26" s="4"/>
      <c r="I26" s="4">
        <f>24444.47+26643.34+7655.95+27546.53</f>
        <v>86290.29</v>
      </c>
      <c r="J26" s="4" t="s">
        <v>18</v>
      </c>
      <c r="K26" s="4">
        <f>20855.46+26176.8+12193.57+25426.73</f>
        <v>84652.56</v>
      </c>
      <c r="L26" s="4"/>
      <c r="M26" s="4">
        <f t="shared" si="2"/>
        <v>-1637.729999999996</v>
      </c>
      <c r="O26" s="4">
        <f>13035.83+26307.31+13446.85+27637.58</f>
        <v>80427.57</v>
      </c>
      <c r="Q26" s="4">
        <f t="shared" si="3"/>
        <v>-5862.719999999987</v>
      </c>
      <c r="S26" s="4"/>
      <c r="X26" s="4"/>
    </row>
    <row r="27" spans="3:24" ht="12.75">
      <c r="C27" t="s">
        <v>10</v>
      </c>
      <c r="G27" s="4"/>
      <c r="I27" s="4">
        <f>76382.5</f>
        <v>76382.5</v>
      </c>
      <c r="J27" s="4"/>
      <c r="K27" s="4">
        <f>57092.46</f>
        <v>57092.46</v>
      </c>
      <c r="L27" s="4"/>
      <c r="M27" s="4">
        <f t="shared" si="2"/>
        <v>-19290.04</v>
      </c>
      <c r="O27" s="4">
        <f>62241.14</f>
        <v>62241.14</v>
      </c>
      <c r="Q27" s="4">
        <f t="shared" si="3"/>
        <v>-14141.36</v>
      </c>
      <c r="S27" s="4"/>
      <c r="X27" s="4"/>
    </row>
    <row r="28" spans="3:24" ht="12.75">
      <c r="C28" t="s">
        <v>11</v>
      </c>
      <c r="G28" s="4"/>
      <c r="I28" s="4">
        <f>19070.77</f>
        <v>19070.77</v>
      </c>
      <c r="J28" s="4"/>
      <c r="K28" s="4">
        <f>17370.16</f>
        <v>17370.16</v>
      </c>
      <c r="L28" s="4"/>
      <c r="M28" s="4">
        <f t="shared" si="2"/>
        <v>-1700.6100000000006</v>
      </c>
      <c r="O28" s="4">
        <f>12078.74</f>
        <v>12078.74</v>
      </c>
      <c r="Q28" s="4">
        <f t="shared" si="3"/>
        <v>-6992.030000000001</v>
      </c>
      <c r="S28" s="4"/>
      <c r="X28" s="4"/>
    </row>
    <row r="29" spans="3:24" ht="12.75">
      <c r="C29" s="3" t="s">
        <v>40</v>
      </c>
      <c r="G29" s="4"/>
      <c r="I29" s="4">
        <f>79464.09+46003.91</f>
        <v>125468</v>
      </c>
      <c r="J29" s="4"/>
      <c r="K29" s="4">
        <f>84576.05+37898.05</f>
        <v>122474.1</v>
      </c>
      <c r="L29" s="4"/>
      <c r="M29" s="4">
        <f t="shared" si="2"/>
        <v>-2993.899999999994</v>
      </c>
      <c r="O29" s="4">
        <f>107900.58+47407.59</f>
        <v>155308.16999999998</v>
      </c>
      <c r="Q29" s="4">
        <f t="shared" si="3"/>
        <v>29840.169999999984</v>
      </c>
      <c r="S29" s="4"/>
      <c r="X29" s="4"/>
    </row>
    <row r="30" spans="3:24" ht="12.75">
      <c r="C30" s="47" t="s">
        <v>41</v>
      </c>
      <c r="G30" s="4"/>
      <c r="I30" s="4">
        <f>101566.42</f>
        <v>101566.42</v>
      </c>
      <c r="J30" s="4"/>
      <c r="K30" s="4">
        <f>127980.95</f>
        <v>127980.95</v>
      </c>
      <c r="L30" s="4"/>
      <c r="M30" s="4">
        <f>SUM(K30-I30)</f>
        <v>26414.53</v>
      </c>
      <c r="O30" s="4">
        <f>123204.78</f>
        <v>123204.78</v>
      </c>
      <c r="Q30" s="4">
        <f>SUM(O30-I30)</f>
        <v>21638.36</v>
      </c>
      <c r="S30" s="4"/>
      <c r="X30" s="4"/>
    </row>
    <row r="31" spans="3:24" ht="12.75">
      <c r="C31" t="s">
        <v>17</v>
      </c>
      <c r="G31" s="4"/>
      <c r="I31" s="4">
        <v>0.41</v>
      </c>
      <c r="J31" s="4"/>
      <c r="K31" s="4">
        <f>63934.95</f>
        <v>63934.95</v>
      </c>
      <c r="L31" s="4"/>
      <c r="M31" s="4">
        <f>SUM(K31-I31)</f>
        <v>63934.53999999999</v>
      </c>
      <c r="O31" s="4">
        <v>0</v>
      </c>
      <c r="Q31" s="4">
        <f>SUM(O31-I31)</f>
        <v>-0.41</v>
      </c>
      <c r="S31" s="4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f>96583</f>
        <v>96583</v>
      </c>
      <c r="J32" s="39"/>
      <c r="K32" s="39">
        <f>30586.2+11800</f>
        <v>42386.2</v>
      </c>
      <c r="L32" s="39"/>
      <c r="M32" s="4">
        <f>SUM(K32-I32)</f>
        <v>-54196.8</v>
      </c>
      <c r="N32" s="42"/>
      <c r="O32" s="39">
        <v>0</v>
      </c>
      <c r="P32" s="42"/>
      <c r="Q32" s="4">
        <f>SUM(O32-I32)</f>
        <v>-96583</v>
      </c>
      <c r="S32" s="4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X33" s="4"/>
    </row>
    <row r="34" spans="3:24" ht="12.75">
      <c r="C34" s="3" t="s">
        <v>15</v>
      </c>
      <c r="G34" s="5"/>
      <c r="I34" s="5">
        <f>SUM(I23:I32)</f>
        <v>1195134.99</v>
      </c>
      <c r="J34" s="5"/>
      <c r="K34" s="5">
        <f>SUM(K23:K32)</f>
        <v>1159942.0399999998</v>
      </c>
      <c r="L34" s="5"/>
      <c r="M34" s="5">
        <f>SUM(M23:M32)</f>
        <v>-35192.95</v>
      </c>
      <c r="N34" s="4"/>
      <c r="O34" s="5">
        <f>SUM(O23:O32)</f>
        <v>1098264.05</v>
      </c>
      <c r="Q34" s="5">
        <f>SUM(Q23:Q32)</f>
        <v>-96870.93999999999</v>
      </c>
      <c r="R34" s="4" t="s">
        <v>18</v>
      </c>
      <c r="S34" s="5"/>
      <c r="T34" s="3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S35" s="5"/>
      <c r="T35" s="3"/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X36" s="4"/>
    </row>
    <row r="37" spans="3:24" ht="12.75">
      <c r="C37" s="29" t="s">
        <v>28</v>
      </c>
      <c r="G37" s="4"/>
      <c r="I37" s="4">
        <v>151043</v>
      </c>
      <c r="J37" s="4"/>
      <c r="K37" s="4">
        <v>156974</v>
      </c>
      <c r="L37" s="4"/>
      <c r="M37" s="4">
        <f>SUM(K37-I37)</f>
        <v>5931</v>
      </c>
      <c r="O37" s="4">
        <f>204850</f>
        <v>204850</v>
      </c>
      <c r="Q37" s="4">
        <f>SUM(O37-I37)</f>
        <v>53807</v>
      </c>
      <c r="S37" s="4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S38" s="4"/>
      <c r="W38" s="12"/>
      <c r="X38" s="4"/>
    </row>
    <row r="39" spans="3:24" s="8" customFormat="1" ht="12.75">
      <c r="C39" s="9" t="s">
        <v>16</v>
      </c>
      <c r="G39" s="10"/>
      <c r="I39" s="10">
        <f>SUM(I37:I37)</f>
        <v>151043</v>
      </c>
      <c r="J39" s="10"/>
      <c r="K39" s="10">
        <f>SUM(K37:K37)</f>
        <v>156974</v>
      </c>
      <c r="L39" s="10"/>
      <c r="M39" s="4">
        <f>SUM(K39-I39)</f>
        <v>5931</v>
      </c>
      <c r="N39" s="10"/>
      <c r="O39" s="10">
        <f>SUM(O37:O37)</f>
        <v>204850</v>
      </c>
      <c r="Q39" s="4">
        <f>SUM(O39-I39)</f>
        <v>53807</v>
      </c>
      <c r="S39" s="10"/>
      <c r="T39" s="9"/>
      <c r="W39" s="35"/>
      <c r="X39" s="10"/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X40" s="10"/>
    </row>
    <row r="41" spans="2:24" ht="12.75">
      <c r="B41" s="57" t="s">
        <v>36</v>
      </c>
      <c r="C41" s="54"/>
      <c r="D41" s="54"/>
      <c r="E41" s="54"/>
      <c r="F41" s="54"/>
      <c r="G41" s="55"/>
      <c r="H41" s="54"/>
      <c r="I41" s="55">
        <f>I34+I39</f>
        <v>1346177.99</v>
      </c>
      <c r="J41" s="55"/>
      <c r="K41" s="55">
        <f>K34+K39</f>
        <v>1316916.0399999998</v>
      </c>
      <c r="L41" s="55"/>
      <c r="M41" s="55">
        <f>M34+M39</f>
        <v>-29261.949999999997</v>
      </c>
      <c r="N41" s="54"/>
      <c r="O41" s="55">
        <f>O34+O39</f>
        <v>1303114.05</v>
      </c>
      <c r="P41" s="54"/>
      <c r="Q41" s="55">
        <f>Q34+Q39</f>
        <v>-43063.93999999999</v>
      </c>
      <c r="R41" s="4" t="s">
        <v>18</v>
      </c>
      <c r="S41" s="30"/>
      <c r="T41" s="12"/>
      <c r="U41" s="32" t="s">
        <v>18</v>
      </c>
      <c r="V41" s="12"/>
      <c r="W41" s="12"/>
      <c r="X41" s="30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19" ht="12.75">
      <c r="A43" s="3" t="s">
        <v>22</v>
      </c>
      <c r="G43" s="28"/>
      <c r="H43" s="34"/>
      <c r="I43" s="28">
        <f>I19-I41</f>
        <v>-18408.159999999916</v>
      </c>
      <c r="J43" s="28"/>
      <c r="K43" s="28">
        <f>K19-K41</f>
        <v>-8650.479999999749</v>
      </c>
      <c r="L43" s="28"/>
      <c r="M43" s="28">
        <f>SUM(M41+M19)</f>
        <v>-9757.680000000066</v>
      </c>
      <c r="N43" s="34"/>
      <c r="O43" s="28">
        <f>O19-O41</f>
        <v>-72670.93999999994</v>
      </c>
      <c r="P43" s="34"/>
      <c r="Q43" s="28">
        <f>Q19+Q41</f>
        <v>54262.779999999984</v>
      </c>
      <c r="S43" s="36"/>
    </row>
    <row r="44" spans="7:12" ht="12.75">
      <c r="G44" s="4"/>
      <c r="I44" s="4"/>
      <c r="J44" s="4"/>
      <c r="K44" s="4"/>
      <c r="L44" s="4"/>
    </row>
    <row r="45" spans="7:12" ht="12.75">
      <c r="G45" s="4"/>
      <c r="I45" s="4"/>
      <c r="J45" s="4"/>
      <c r="K45" s="4"/>
      <c r="L45" s="4"/>
    </row>
    <row r="46" spans="7:12" ht="12.75">
      <c r="G46" s="4"/>
      <c r="I46" s="4"/>
      <c r="J46" s="4"/>
      <c r="K46" s="4"/>
      <c r="L46" s="4"/>
    </row>
    <row r="47" spans="1:12" ht="12.75">
      <c r="A47" s="3"/>
      <c r="G47" s="4"/>
      <c r="I47" s="4"/>
      <c r="J47" s="4"/>
      <c r="K47" s="4"/>
      <c r="L47" s="4"/>
    </row>
    <row r="48" spans="1:12" ht="12.75">
      <c r="A48" s="3"/>
      <c r="G48" s="4"/>
      <c r="I48" s="4"/>
      <c r="J48" s="4"/>
      <c r="K48" s="4"/>
      <c r="L48" s="4"/>
    </row>
    <row r="49" spans="1:15" ht="12.75">
      <c r="A49" s="3"/>
      <c r="B49" s="3"/>
      <c r="G49" s="4"/>
      <c r="I49" s="4"/>
      <c r="J49" s="4"/>
      <c r="K49" s="4"/>
      <c r="L49" s="4"/>
      <c r="O49" s="5"/>
    </row>
    <row r="50" spans="7:12" ht="12.75">
      <c r="G50" s="4"/>
      <c r="I50" s="4"/>
      <c r="J50" s="4"/>
      <c r="K50" s="4"/>
      <c r="L50" s="4"/>
    </row>
    <row r="51" spans="7:12" ht="12.75">
      <c r="G51" s="4"/>
      <c r="I51" s="4"/>
      <c r="J51" s="4"/>
      <c r="K51" s="4"/>
      <c r="L51" s="4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 t="s">
        <v>18</v>
      </c>
      <c r="K56" s="4"/>
      <c r="L56" s="4"/>
    </row>
    <row r="57" spans="7:12" ht="12.75">
      <c r="G57" s="4"/>
      <c r="I57" s="4"/>
      <c r="J57" s="4"/>
      <c r="K57" s="4"/>
      <c r="L57" s="4"/>
    </row>
    <row r="58" spans="7:12" ht="12.75">
      <c r="G58" s="4"/>
      <c r="I58" s="4"/>
      <c r="J58" s="4"/>
      <c r="K58" s="4"/>
      <c r="L58" s="4"/>
    </row>
    <row r="59" spans="4:12" ht="12.75">
      <c r="D59" s="29"/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7:12" ht="12.75">
      <c r="G62" s="4"/>
      <c r="I62" s="4"/>
      <c r="J62" s="4"/>
      <c r="K62" s="4"/>
      <c r="L62" s="4"/>
    </row>
  </sheetData>
  <sheetProtection/>
  <printOptions/>
  <pageMargins left="0.7" right="0.7" top="0.75" bottom="0.75" header="0.3" footer="0.3"/>
  <pageSetup fitToHeight="0" orientation="landscape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62"/>
  <sheetViews>
    <sheetView zoomScalePageLayoutView="0" workbookViewId="0" topLeftCell="A10">
      <selection activeCell="A1" sqref="A1:IV16384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21" max="21" width="10.140625" style="0" bestFit="1" customWidth="1"/>
  </cols>
  <sheetData>
    <row r="1" s="1" customFormat="1" ht="18">
      <c r="D1" s="2" t="s">
        <v>0</v>
      </c>
    </row>
    <row r="2" spans="1:15" ht="15">
      <c r="A2" s="3"/>
      <c r="B2" s="3"/>
      <c r="D2" s="6" t="s">
        <v>5</v>
      </c>
      <c r="O2" s="20">
        <v>42263</v>
      </c>
    </row>
    <row r="3" spans="1:18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50</v>
      </c>
      <c r="J5" s="23"/>
      <c r="K5" s="23" t="s">
        <v>38</v>
      </c>
      <c r="L5" s="23"/>
      <c r="M5" s="26" t="s">
        <v>27</v>
      </c>
      <c r="O5" s="23" t="s">
        <v>50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189723.14+25569.88+1350</f>
        <v>216643.02000000002</v>
      </c>
      <c r="J8" s="4"/>
      <c r="K8" s="4">
        <f>202244.2+20470.2+2025</f>
        <v>224739.40000000002</v>
      </c>
      <c r="L8" s="4"/>
      <c r="M8" s="4">
        <f aca="true" t="shared" si="0" ref="M8:M14">SUM(I8-K8)</f>
        <v>-8096.380000000005</v>
      </c>
      <c r="O8" s="4">
        <f>1092875.47+270935.25+9448.26</f>
        <v>1373258.98</v>
      </c>
      <c r="Q8" s="4">
        <f aca="true" t="shared" si="1" ref="Q8:Q14">SUM(I8-O8)</f>
        <v>-1156615.96</v>
      </c>
      <c r="S8" s="4"/>
      <c r="X8" s="4"/>
    </row>
    <row r="9" spans="4:24" ht="12.75">
      <c r="D9" t="s">
        <v>2</v>
      </c>
      <c r="G9" s="4"/>
      <c r="I9" s="4">
        <f>99075.92-85049.94+3825</f>
        <v>17850.979999999996</v>
      </c>
      <c r="J9" s="4"/>
      <c r="K9" s="4">
        <f>91382.73+1390-71785.85</f>
        <v>20986.87999999999</v>
      </c>
      <c r="L9" s="4"/>
      <c r="M9" s="4">
        <f t="shared" si="0"/>
        <v>-3135.899999999994</v>
      </c>
      <c r="O9" s="4">
        <f>581284.21-545003.59</f>
        <v>36280.619999999995</v>
      </c>
      <c r="Q9" s="4">
        <f t="shared" si="1"/>
        <v>-18429.64</v>
      </c>
      <c r="S9" s="4"/>
      <c r="X9" s="4"/>
    </row>
    <row r="10" spans="4:24" ht="12.75">
      <c r="D10" t="s">
        <v>3</v>
      </c>
      <c r="G10" s="4"/>
      <c r="I10" s="4">
        <f>39909.03</f>
        <v>39909.03</v>
      </c>
      <c r="J10" s="4"/>
      <c r="K10" s="4">
        <f>32454.24</f>
        <v>32454.24</v>
      </c>
      <c r="L10" s="4"/>
      <c r="M10" s="4">
        <f t="shared" si="0"/>
        <v>7454.789999999997</v>
      </c>
      <c r="O10" s="4">
        <f>85400.63</f>
        <v>85400.63</v>
      </c>
      <c r="Q10" s="4">
        <f t="shared" si="1"/>
        <v>-45491.600000000006</v>
      </c>
      <c r="S10" s="4"/>
      <c r="X10" s="4"/>
    </row>
    <row r="11" spans="4:24" ht="12.75">
      <c r="D11" t="s">
        <v>31</v>
      </c>
      <c r="G11" s="4"/>
      <c r="I11" s="4">
        <f>3325.84+245.95</f>
        <v>3571.79</v>
      </c>
      <c r="J11" s="4"/>
      <c r="K11" s="4">
        <f>188.9+5212.06</f>
        <v>5400.96</v>
      </c>
      <c r="L11" s="4"/>
      <c r="M11" s="4">
        <f t="shared" si="0"/>
        <v>-1829.17</v>
      </c>
      <c r="O11" s="4">
        <f>25529.22</f>
        <v>25529.22</v>
      </c>
      <c r="Q11" s="4">
        <f t="shared" si="1"/>
        <v>-21957.43</v>
      </c>
      <c r="S11" s="4"/>
      <c r="X11" s="4"/>
    </row>
    <row r="12" spans="4:24" ht="12.75">
      <c r="D12" t="s">
        <v>30</v>
      </c>
      <c r="G12" s="4"/>
      <c r="I12" s="4">
        <f>38.8</f>
        <v>38.8</v>
      </c>
      <c r="J12" s="4"/>
      <c r="K12" s="4">
        <f>6008.09</f>
        <v>6008.09</v>
      </c>
      <c r="L12" s="4"/>
      <c r="M12" s="4">
        <f t="shared" si="0"/>
        <v>-5969.29</v>
      </c>
      <c r="O12" s="4">
        <f>12466.69</f>
        <v>12466.69</v>
      </c>
      <c r="Q12" s="4">
        <f t="shared" si="1"/>
        <v>-12427.890000000001</v>
      </c>
      <c r="S12" s="4"/>
      <c r="X12" s="4"/>
    </row>
    <row r="13" spans="4:24" ht="12.75">
      <c r="D13" t="s">
        <v>29</v>
      </c>
      <c r="G13" s="4"/>
      <c r="I13" s="4">
        <v>0</v>
      </c>
      <c r="J13" s="4"/>
      <c r="K13" s="4">
        <f>11757.68-11187.4</f>
        <v>570.2800000000007</v>
      </c>
      <c r="L13" s="4"/>
      <c r="M13" s="4">
        <f t="shared" si="0"/>
        <v>-570.2800000000007</v>
      </c>
      <c r="O13" s="4">
        <v>29000</v>
      </c>
      <c r="Q13" s="4">
        <f t="shared" si="1"/>
        <v>-29000</v>
      </c>
      <c r="S13" s="4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278013.62</v>
      </c>
      <c r="J16" s="5"/>
      <c r="K16" s="5">
        <f>SUM(K8:K14)</f>
        <v>290159.8500000001</v>
      </c>
      <c r="L16" s="5"/>
      <c r="M16" s="5">
        <f>SUM(M8:M14)</f>
        <v>-12146.230000000001</v>
      </c>
      <c r="N16" s="5"/>
      <c r="O16" s="5">
        <f>SUM(O8:O14)</f>
        <v>1561936.14</v>
      </c>
      <c r="Q16" s="5">
        <f>SUM(Q8:Q14)</f>
        <v>-1283922.5199999998</v>
      </c>
      <c r="S16" s="5"/>
      <c r="U16" s="3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12" customFormat="1" ht="12.75">
      <c r="B19" s="52" t="s">
        <v>34</v>
      </c>
      <c r="C19" s="53"/>
      <c r="D19" s="54"/>
      <c r="E19" s="54"/>
      <c r="F19" s="54"/>
      <c r="G19" s="55"/>
      <c r="H19" s="54"/>
      <c r="I19" s="55">
        <f>I16</f>
        <v>278013.62</v>
      </c>
      <c r="J19" s="55"/>
      <c r="K19" s="55">
        <f>K16</f>
        <v>290159.8500000001</v>
      </c>
      <c r="L19" s="55"/>
      <c r="M19" s="55">
        <f>M16</f>
        <v>-12146.230000000001</v>
      </c>
      <c r="N19" s="54"/>
      <c r="O19" s="55">
        <f>O16</f>
        <v>1561936.14</v>
      </c>
      <c r="P19" s="54"/>
      <c r="Q19" s="56">
        <f>SUM(I19-O19)</f>
        <v>-1283922.52</v>
      </c>
      <c r="S19" s="30"/>
      <c r="X19" s="30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f>25816.74</f>
        <v>25816.74</v>
      </c>
      <c r="J23" s="4"/>
      <c r="K23" s="4">
        <f>151500</f>
        <v>151500</v>
      </c>
      <c r="L23" s="4"/>
      <c r="M23" s="4">
        <f aca="true" t="shared" si="2" ref="M23:M29">SUM(K23-I23)</f>
        <v>125683.26</v>
      </c>
      <c r="O23" s="4">
        <v>151463</v>
      </c>
      <c r="Q23" s="4">
        <f aca="true" t="shared" si="3" ref="Q23:Q29">SUM(O23-I23)</f>
        <v>125646.26</v>
      </c>
      <c r="S23" s="4"/>
      <c r="X23" s="4"/>
    </row>
    <row r="24" spans="3:24" ht="12.75">
      <c r="C24" t="s">
        <v>9</v>
      </c>
      <c r="G24" s="4"/>
      <c r="I24" s="4">
        <f>7970.6+59919.14+3923.18</f>
        <v>71812.92</v>
      </c>
      <c r="J24" s="4"/>
      <c r="K24" s="4">
        <f>7793.13+59462.98+3602.84</f>
        <v>70858.95</v>
      </c>
      <c r="L24" s="4"/>
      <c r="M24" s="4">
        <f t="shared" si="2"/>
        <v>-953.9700000000012</v>
      </c>
      <c r="O24" s="4">
        <f>65967.74+390320.9+39501+35244.32</f>
        <v>531033.96</v>
      </c>
      <c r="Q24" s="4">
        <f t="shared" si="3"/>
        <v>459221.04</v>
      </c>
      <c r="S24" s="4"/>
      <c r="X24" s="4"/>
    </row>
    <row r="25" spans="3:24" ht="12.75">
      <c r="C25" s="3" t="s">
        <v>12</v>
      </c>
      <c r="G25" s="4"/>
      <c r="I25" s="4">
        <f>18180.46</f>
        <v>18180.46</v>
      </c>
      <c r="J25" s="4"/>
      <c r="K25" s="4">
        <f>32804.06</f>
        <v>32804.06</v>
      </c>
      <c r="L25" s="4"/>
      <c r="M25" s="4">
        <f t="shared" si="2"/>
        <v>14623.599999999999</v>
      </c>
      <c r="O25" s="4">
        <f>142774.08</f>
        <v>142774.08</v>
      </c>
      <c r="Q25" s="4">
        <f t="shared" si="3"/>
        <v>124593.62</v>
      </c>
      <c r="S25" s="4"/>
      <c r="X25" s="4"/>
    </row>
    <row r="26" spans="3:24" ht="12.75">
      <c r="C26" t="s">
        <v>33</v>
      </c>
      <c r="G26" s="4"/>
      <c r="I26" s="4">
        <f>2344.91+2344.52+1965.24+2021.93</f>
        <v>8676.6</v>
      </c>
      <c r="J26" s="4" t="s">
        <v>18</v>
      </c>
      <c r="K26" s="4">
        <f>2560.66+1102.73+5430.2+2025.2</f>
        <v>11118.79</v>
      </c>
      <c r="L26" s="4"/>
      <c r="M26" s="4">
        <f t="shared" si="2"/>
        <v>2442.1900000000005</v>
      </c>
      <c r="O26" s="4">
        <f>16816.35+31506.4+14676.18+30346.77</f>
        <v>93345.7</v>
      </c>
      <c r="Q26" s="4">
        <f t="shared" si="3"/>
        <v>84669.09999999999</v>
      </c>
      <c r="S26" s="4"/>
      <c r="X26" s="4"/>
    </row>
    <row r="27" spans="3:24" ht="12.75">
      <c r="C27" t="s">
        <v>10</v>
      </c>
      <c r="G27" s="4"/>
      <c r="I27" s="4">
        <f>27908.63</f>
        <v>27908.63</v>
      </c>
      <c r="J27" s="4"/>
      <c r="K27" s="4">
        <v>28617.74</v>
      </c>
      <c r="L27" s="4"/>
      <c r="M27" s="4">
        <f t="shared" si="2"/>
        <v>709.1100000000006</v>
      </c>
      <c r="O27" s="4">
        <f>72610.72</f>
        <v>72610.72</v>
      </c>
      <c r="Q27" s="4">
        <f t="shared" si="3"/>
        <v>44702.09</v>
      </c>
      <c r="S27" s="4"/>
      <c r="X27" s="4"/>
    </row>
    <row r="28" spans="3:24" ht="12.75">
      <c r="C28" t="s">
        <v>11</v>
      </c>
      <c r="G28" s="4"/>
      <c r="I28" s="4">
        <f>1467.77</f>
        <v>1467.77</v>
      </c>
      <c r="J28" s="4"/>
      <c r="K28" s="4">
        <f>2865.49</f>
        <v>2865.49</v>
      </c>
      <c r="L28" s="4"/>
      <c r="M28" s="4">
        <f t="shared" si="2"/>
        <v>1397.7199999999998</v>
      </c>
      <c r="O28" s="4">
        <f>21107.57</f>
        <v>21107.57</v>
      </c>
      <c r="Q28" s="4">
        <f t="shared" si="3"/>
        <v>19639.8</v>
      </c>
      <c r="S28" s="4"/>
      <c r="X28" s="4"/>
    </row>
    <row r="29" spans="3:24" ht="12.75">
      <c r="C29" s="3" t="s">
        <v>40</v>
      </c>
      <c r="G29" s="4"/>
      <c r="I29" s="4">
        <f>17139.95</f>
        <v>17139.95</v>
      </c>
      <c r="J29" s="4"/>
      <c r="K29" s="4">
        <f>31688.05</f>
        <v>31688.05</v>
      </c>
      <c r="L29" s="4"/>
      <c r="M29" s="4">
        <f t="shared" si="2"/>
        <v>14548.099999999999</v>
      </c>
      <c r="O29" s="4">
        <f>145374.2+52659.64</f>
        <v>198033.84000000003</v>
      </c>
      <c r="Q29" s="4">
        <f t="shared" si="3"/>
        <v>180893.89</v>
      </c>
      <c r="S29" s="4"/>
      <c r="X29" s="4"/>
    </row>
    <row r="30" spans="3:24" ht="12.75">
      <c r="C30" s="47" t="s">
        <v>41</v>
      </c>
      <c r="G30" s="4"/>
      <c r="I30" s="4">
        <f>15137.81</f>
        <v>15137.81</v>
      </c>
      <c r="J30" s="4"/>
      <c r="K30" s="4">
        <f>24770.41</f>
        <v>24770.41</v>
      </c>
      <c r="L30" s="4"/>
      <c r="M30" s="4">
        <f>SUM(K30-I30)</f>
        <v>9632.6</v>
      </c>
      <c r="O30" s="4">
        <f>137034.98</f>
        <v>137034.98</v>
      </c>
      <c r="Q30" s="4">
        <f>SUM(O30-I30)</f>
        <v>121897.17000000001</v>
      </c>
      <c r="S30" s="4"/>
      <c r="X30" s="4"/>
    </row>
    <row r="31" spans="3:24" ht="12.75">
      <c r="C31" t="s">
        <v>17</v>
      </c>
      <c r="G31" s="4"/>
      <c r="I31" s="4">
        <v>0.41</v>
      </c>
      <c r="J31" s="4"/>
      <c r="K31" s="4">
        <v>0</v>
      </c>
      <c r="L31" s="4"/>
      <c r="M31" s="4">
        <f>SUM(K31-I31)</f>
        <v>-0.41</v>
      </c>
      <c r="O31" s="4">
        <v>0</v>
      </c>
      <c r="Q31" s="4">
        <f>SUM(O31-I31)</f>
        <v>-0.41</v>
      </c>
      <c r="S31" s="4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0</v>
      </c>
      <c r="L32" s="39"/>
      <c r="M32" s="4">
        <f>SUM(K32-I32)</f>
        <v>0</v>
      </c>
      <c r="N32" s="42"/>
      <c r="O32" s="39">
        <v>0</v>
      </c>
      <c r="P32" s="42"/>
      <c r="Q32" s="4">
        <f>SUM(O32-I32)</f>
        <v>0</v>
      </c>
      <c r="S32" s="4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X33" s="4"/>
    </row>
    <row r="34" spans="3:24" ht="12.75">
      <c r="C34" s="3" t="s">
        <v>15</v>
      </c>
      <c r="G34" s="5"/>
      <c r="I34" s="5">
        <f>SUM(I23:I32)</f>
        <v>186141.29</v>
      </c>
      <c r="J34" s="5"/>
      <c r="K34" s="5">
        <f>SUM(K23:K32)</f>
        <v>354223.48999999993</v>
      </c>
      <c r="L34" s="5"/>
      <c r="M34" s="5">
        <f>SUM(M23:M32)</f>
        <v>168082.2</v>
      </c>
      <c r="N34" s="4"/>
      <c r="O34" s="5">
        <f>SUM(O23:O32)</f>
        <v>1347403.8499999999</v>
      </c>
      <c r="Q34" s="5">
        <f>SUM(Q23:Q32)</f>
        <v>1161262.56</v>
      </c>
      <c r="R34" s="4" t="s">
        <v>18</v>
      </c>
      <c r="S34" s="5"/>
      <c r="T34" s="3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S35" s="5"/>
      <c r="T35" s="3"/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X36" s="4"/>
    </row>
    <row r="37" spans="3:24" ht="12.75">
      <c r="C37" s="29" t="s">
        <v>28</v>
      </c>
      <c r="G37" s="4"/>
      <c r="I37" s="4">
        <v>0</v>
      </c>
      <c r="J37" s="4"/>
      <c r="K37" s="4">
        <v>-500</v>
      </c>
      <c r="L37" s="4"/>
      <c r="M37" s="4">
        <f>SUM(K37-I37)</f>
        <v>-500</v>
      </c>
      <c r="O37" s="4">
        <v>204850</v>
      </c>
      <c r="Q37" s="4">
        <f>SUM(O37-I37)</f>
        <v>204850</v>
      </c>
      <c r="S37" s="4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S38" s="4"/>
      <c r="W38" s="12"/>
      <c r="X38" s="4"/>
    </row>
    <row r="39" spans="3:24" s="8" customFormat="1" ht="12.75">
      <c r="C39" s="9" t="s">
        <v>16</v>
      </c>
      <c r="G39" s="10"/>
      <c r="I39" s="10">
        <f>SUM(I37:I37)</f>
        <v>0</v>
      </c>
      <c r="J39" s="10"/>
      <c r="K39" s="10">
        <f>SUM(K37:K37)</f>
        <v>-500</v>
      </c>
      <c r="L39" s="10"/>
      <c r="M39" s="4">
        <f>SUM(K39-I39)</f>
        <v>-500</v>
      </c>
      <c r="N39" s="10"/>
      <c r="O39" s="10">
        <f>SUM(O37:O37)</f>
        <v>204850</v>
      </c>
      <c r="Q39" s="4">
        <f>SUM(O39-I39)</f>
        <v>204850</v>
      </c>
      <c r="S39" s="10"/>
      <c r="T39" s="9"/>
      <c r="W39" s="35"/>
      <c r="X39" s="10"/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X40" s="10"/>
    </row>
    <row r="41" spans="2:24" ht="12.75">
      <c r="B41" s="57" t="s">
        <v>36</v>
      </c>
      <c r="C41" s="54"/>
      <c r="D41" s="54"/>
      <c r="E41" s="54"/>
      <c r="F41" s="54"/>
      <c r="G41" s="55"/>
      <c r="H41" s="54"/>
      <c r="I41" s="55">
        <f>I34+I39</f>
        <v>186141.29</v>
      </c>
      <c r="J41" s="55"/>
      <c r="K41" s="55">
        <f>K34+K39</f>
        <v>353723.48999999993</v>
      </c>
      <c r="L41" s="55"/>
      <c r="M41" s="55">
        <f>M34+M39</f>
        <v>167582.2</v>
      </c>
      <c r="N41" s="54"/>
      <c r="O41" s="55">
        <f>O34+O39</f>
        <v>1552253.8499999999</v>
      </c>
      <c r="P41" s="54"/>
      <c r="Q41" s="55">
        <f>Q34+Q39</f>
        <v>1366112.56</v>
      </c>
      <c r="R41" s="4" t="s">
        <v>18</v>
      </c>
      <c r="S41" s="30"/>
      <c r="T41" s="12"/>
      <c r="U41" s="32" t="s">
        <v>18</v>
      </c>
      <c r="V41" s="12"/>
      <c r="W41" s="12"/>
      <c r="X41" s="30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19" ht="12.75">
      <c r="A43" s="3" t="s">
        <v>22</v>
      </c>
      <c r="G43" s="28"/>
      <c r="H43" s="34"/>
      <c r="I43" s="28">
        <f>I19-I41</f>
        <v>91872.32999999999</v>
      </c>
      <c r="J43" s="28"/>
      <c r="K43" s="28">
        <f>K19-K41</f>
        <v>-63563.63999999984</v>
      </c>
      <c r="L43" s="28"/>
      <c r="M43" s="28">
        <f>SUM(M41+M19)</f>
        <v>155435.97</v>
      </c>
      <c r="N43" s="34"/>
      <c r="O43" s="28">
        <f>O19-O41</f>
        <v>9682.290000000037</v>
      </c>
      <c r="P43" s="34"/>
      <c r="Q43" s="28">
        <f>Q19+Q41</f>
        <v>82190.04000000004</v>
      </c>
      <c r="S43" s="36"/>
    </row>
    <row r="44" spans="7:12" ht="12.75">
      <c r="G44" s="4"/>
      <c r="I44" s="4"/>
      <c r="J44" s="4"/>
      <c r="K44" s="4"/>
      <c r="L44" s="4"/>
    </row>
    <row r="45" spans="7:12" ht="12.75">
      <c r="G45" s="4"/>
      <c r="I45" s="4"/>
      <c r="J45" s="4"/>
      <c r="K45" s="4"/>
      <c r="L45" s="4"/>
    </row>
    <row r="46" spans="7:12" ht="12.75">
      <c r="G46" s="4"/>
      <c r="I46" s="4"/>
      <c r="J46" s="4"/>
      <c r="K46" s="4"/>
      <c r="L46" s="4"/>
    </row>
    <row r="47" spans="1:12" ht="12.75">
      <c r="A47" s="3"/>
      <c r="G47" s="4"/>
      <c r="I47" s="4"/>
      <c r="J47" s="4"/>
      <c r="K47" s="4"/>
      <c r="L47" s="4"/>
    </row>
    <row r="48" spans="1:12" ht="12.75">
      <c r="A48" s="3"/>
      <c r="G48" s="4"/>
      <c r="I48" s="4"/>
      <c r="J48" s="4"/>
      <c r="K48" s="4"/>
      <c r="L48" s="4"/>
    </row>
    <row r="49" spans="1:15" ht="12.75">
      <c r="A49" s="3"/>
      <c r="B49" s="3"/>
      <c r="G49" s="4"/>
      <c r="I49" s="4"/>
      <c r="J49" s="4"/>
      <c r="K49" s="4"/>
      <c r="L49" s="4"/>
      <c r="O49" s="5"/>
    </row>
    <row r="50" spans="7:12" ht="12.75">
      <c r="G50" s="4"/>
      <c r="I50" s="4"/>
      <c r="J50" s="4"/>
      <c r="K50" s="4"/>
      <c r="L50" s="4"/>
    </row>
    <row r="51" spans="7:12" ht="12.75">
      <c r="G51" s="4"/>
      <c r="I51" s="4"/>
      <c r="J51" s="4"/>
      <c r="K51" s="4"/>
      <c r="L51" s="4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 t="s">
        <v>18</v>
      </c>
      <c r="K56" s="4"/>
      <c r="L56" s="4"/>
    </row>
    <row r="57" spans="7:12" ht="12.75">
      <c r="G57" s="4"/>
      <c r="I57" s="4"/>
      <c r="J57" s="4"/>
      <c r="K57" s="4"/>
      <c r="L57" s="4"/>
    </row>
    <row r="58" spans="7:12" ht="12.75">
      <c r="G58" s="4"/>
      <c r="I58" s="4"/>
      <c r="J58" s="4"/>
      <c r="K58" s="4"/>
      <c r="L58" s="4"/>
    </row>
    <row r="59" spans="4:12" ht="12.75">
      <c r="D59" s="29"/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7:12" ht="12.75">
      <c r="G62" s="4"/>
      <c r="I62" s="4"/>
      <c r="J62" s="4"/>
      <c r="K62" s="4"/>
      <c r="L62" s="4"/>
    </row>
  </sheetData>
  <sheetProtection/>
  <printOptions/>
  <pageMargins left="0.7" right="0.7" top="0.75" bottom="0.75" header="0.3" footer="0.3"/>
  <pageSetup orientation="landscape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62"/>
  <sheetViews>
    <sheetView zoomScalePageLayoutView="0" workbookViewId="0" topLeftCell="A7">
      <selection activeCell="K23" sqref="K23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21" max="21" width="10.140625" style="0" bestFit="1" customWidth="1"/>
  </cols>
  <sheetData>
    <row r="1" s="1" customFormat="1" ht="18">
      <c r="D1" s="2" t="s">
        <v>0</v>
      </c>
    </row>
    <row r="2" spans="1:15" ht="15">
      <c r="A2" s="3"/>
      <c r="B2" s="3"/>
      <c r="D2" s="6" t="s">
        <v>5</v>
      </c>
      <c r="O2" s="20">
        <v>42312</v>
      </c>
    </row>
    <row r="3" spans="1:18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51</v>
      </c>
      <c r="J5" s="23"/>
      <c r="K5" s="23" t="s">
        <v>42</v>
      </c>
      <c r="L5" s="23"/>
      <c r="M5" s="26" t="s">
        <v>27</v>
      </c>
      <c r="O5" s="23" t="s">
        <v>51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189623.14+25569.88+1350</f>
        <v>216543.02000000002</v>
      </c>
      <c r="J8" s="4"/>
      <c r="K8" s="4">
        <f>202244.2+20470.2+2025</f>
        <v>224739.40000000002</v>
      </c>
      <c r="L8" s="4"/>
      <c r="M8" s="4">
        <f aca="true" t="shared" si="0" ref="M8:M14">SUM(I8-K8)</f>
        <v>-8196.380000000005</v>
      </c>
      <c r="O8" s="4">
        <f>206022.9+18382.12+1870.21</f>
        <v>226275.22999999998</v>
      </c>
      <c r="Q8" s="4">
        <f aca="true" t="shared" si="1" ref="Q8:Q14">SUM(I8-O8)</f>
        <v>-9732.209999999963</v>
      </c>
      <c r="S8" s="4"/>
      <c r="X8" s="4"/>
    </row>
    <row r="9" spans="4:24" ht="12.75">
      <c r="D9" t="s">
        <v>2</v>
      </c>
      <c r="G9" s="4"/>
      <c r="I9" s="4">
        <f>99075.92-85049.94+3825</f>
        <v>17850.979999999996</v>
      </c>
      <c r="J9" s="4"/>
      <c r="K9" s="4">
        <f>91382.73+1390-71785.85</f>
        <v>20986.87999999999</v>
      </c>
      <c r="L9" s="4"/>
      <c r="M9" s="4">
        <f t="shared" si="0"/>
        <v>-3135.899999999994</v>
      </c>
      <c r="O9" s="4">
        <f>84001.01-69235.44</f>
        <v>14765.569999999992</v>
      </c>
      <c r="Q9" s="4">
        <f t="shared" si="1"/>
        <v>3085.4100000000035</v>
      </c>
      <c r="S9" s="4"/>
      <c r="X9" s="4"/>
    </row>
    <row r="10" spans="4:24" ht="12.75">
      <c r="D10" t="s">
        <v>3</v>
      </c>
      <c r="G10" s="4"/>
      <c r="I10" s="4">
        <f>39909.03</f>
        <v>39909.03</v>
      </c>
      <c r="J10" s="4"/>
      <c r="K10" s="4">
        <f>32454.24</f>
        <v>32454.24</v>
      </c>
      <c r="L10" s="4"/>
      <c r="M10" s="4">
        <f t="shared" si="0"/>
        <v>7454.789999999997</v>
      </c>
      <c r="O10" s="4">
        <f>31242.07</f>
        <v>31242.07</v>
      </c>
      <c r="Q10" s="4">
        <f t="shared" si="1"/>
        <v>8666.96</v>
      </c>
      <c r="S10" s="4"/>
      <c r="X10" s="4"/>
    </row>
    <row r="11" spans="4:24" ht="12.75">
      <c r="D11" t="s">
        <v>31</v>
      </c>
      <c r="G11" s="4"/>
      <c r="I11" s="4">
        <f>3325.84+249.83</f>
        <v>3575.67</v>
      </c>
      <c r="J11" s="4"/>
      <c r="K11" s="4">
        <f>5200</f>
        <v>5200</v>
      </c>
      <c r="L11" s="4"/>
      <c r="M11" s="4">
        <f t="shared" si="0"/>
        <v>-1624.33</v>
      </c>
      <c r="O11" s="4">
        <f>89.54+4844.99</f>
        <v>4934.53</v>
      </c>
      <c r="Q11" s="4">
        <f t="shared" si="1"/>
        <v>-1358.8599999999997</v>
      </c>
      <c r="S11" s="4"/>
      <c r="X11" s="4"/>
    </row>
    <row r="12" spans="4:24" ht="12.75">
      <c r="D12" t="s">
        <v>30</v>
      </c>
      <c r="G12" s="4"/>
      <c r="I12" s="4">
        <f>38.8</f>
        <v>38.8</v>
      </c>
      <c r="J12" s="4"/>
      <c r="K12" s="4">
        <f>6008.09</f>
        <v>6008.09</v>
      </c>
      <c r="L12" s="4"/>
      <c r="M12" s="4">
        <f t="shared" si="0"/>
        <v>-5969.29</v>
      </c>
      <c r="O12" s="4">
        <f>2722.42</f>
        <v>2722.42</v>
      </c>
      <c r="Q12" s="4">
        <f t="shared" si="1"/>
        <v>-2683.62</v>
      </c>
      <c r="S12" s="4"/>
      <c r="X12" s="4"/>
    </row>
    <row r="13" spans="4:24" ht="12.75">
      <c r="D13" t="s">
        <v>29</v>
      </c>
      <c r="G13" s="4"/>
      <c r="I13" s="4">
        <v>0</v>
      </c>
      <c r="J13" s="4"/>
      <c r="K13" s="4">
        <v>0</v>
      </c>
      <c r="L13" s="4"/>
      <c r="M13" s="4">
        <f t="shared" si="0"/>
        <v>0</v>
      </c>
      <c r="O13" s="4">
        <v>0</v>
      </c>
      <c r="Q13" s="4">
        <f t="shared" si="1"/>
        <v>0</v>
      </c>
      <c r="S13" s="4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277917.5</v>
      </c>
      <c r="J16" s="5"/>
      <c r="K16" s="5">
        <f>SUM(K8:K14)</f>
        <v>289388.61000000004</v>
      </c>
      <c r="L16" s="5"/>
      <c r="M16" s="5">
        <f>SUM(M8:M14)</f>
        <v>-11471.11</v>
      </c>
      <c r="N16" s="5"/>
      <c r="O16" s="5">
        <f>SUM(O8:O14)</f>
        <v>279939.82</v>
      </c>
      <c r="Q16" s="5">
        <f>SUM(Q8:Q14)</f>
        <v>-2022.3199999999597</v>
      </c>
      <c r="S16" s="5"/>
      <c r="U16" s="3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12" customFormat="1" ht="12.75">
      <c r="B19" s="52" t="s">
        <v>34</v>
      </c>
      <c r="C19" s="53"/>
      <c r="D19" s="54"/>
      <c r="E19" s="54"/>
      <c r="F19" s="54"/>
      <c r="G19" s="55"/>
      <c r="H19" s="54"/>
      <c r="I19" s="55">
        <f>I16</f>
        <v>277917.5</v>
      </c>
      <c r="J19" s="55"/>
      <c r="K19" s="55">
        <f>K16</f>
        <v>289388.61000000004</v>
      </c>
      <c r="L19" s="55"/>
      <c r="M19" s="55">
        <f>M16</f>
        <v>-11471.11</v>
      </c>
      <c r="N19" s="54"/>
      <c r="O19" s="55">
        <f>O16</f>
        <v>279939.82</v>
      </c>
      <c r="P19" s="54"/>
      <c r="Q19" s="56">
        <f>SUM(I19-O19)</f>
        <v>-2022.320000000007</v>
      </c>
      <c r="S19" s="30"/>
      <c r="X19" s="30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f>25816.74</f>
        <v>25816.74</v>
      </c>
      <c r="J23" s="4"/>
      <c r="K23" s="4">
        <f>25250</f>
        <v>25250</v>
      </c>
      <c r="L23" s="4"/>
      <c r="M23" s="4">
        <f aca="true" t="shared" si="2" ref="M23:M29">SUM(K23-I23)</f>
        <v>-566.7400000000016</v>
      </c>
      <c r="O23" s="4">
        <f>25322.5</f>
        <v>25322.5</v>
      </c>
      <c r="Q23" s="4">
        <f aca="true" t="shared" si="3" ref="Q23:Q29">SUM(O23-I23)</f>
        <v>-494.2400000000016</v>
      </c>
      <c r="S23" s="4"/>
      <c r="X23" s="4"/>
    </row>
    <row r="24" spans="3:24" ht="12.75">
      <c r="C24" t="s">
        <v>9</v>
      </c>
      <c r="G24" s="4"/>
      <c r="I24" s="4">
        <f>7970.6+59919.14+3923.18</f>
        <v>71812.92</v>
      </c>
      <c r="J24" s="4"/>
      <c r="K24" s="4">
        <f>9373.13+59462.98+3620.12</f>
        <v>72456.23</v>
      </c>
      <c r="L24" s="4"/>
      <c r="M24" s="4">
        <f t="shared" si="2"/>
        <v>643.3099999999977</v>
      </c>
      <c r="O24" s="4">
        <f>9720.28+58985.71+3778.15</f>
        <v>72484.14</v>
      </c>
      <c r="Q24" s="4">
        <f t="shared" si="3"/>
        <v>671.2200000000012</v>
      </c>
      <c r="S24" s="4"/>
      <c r="X24" s="4"/>
    </row>
    <row r="25" spans="3:24" ht="12.75">
      <c r="C25" s="3" t="s">
        <v>12</v>
      </c>
      <c r="G25" s="4"/>
      <c r="I25" s="4">
        <f>18180.46</f>
        <v>18180.46</v>
      </c>
      <c r="J25" s="4"/>
      <c r="K25" s="4">
        <f>18034.26</f>
        <v>18034.26</v>
      </c>
      <c r="L25" s="4"/>
      <c r="M25" s="4">
        <f t="shared" si="2"/>
        <v>-146.20000000000073</v>
      </c>
      <c r="O25" s="4">
        <f>22885.3</f>
        <v>22885.3</v>
      </c>
      <c r="Q25" s="4">
        <f t="shared" si="3"/>
        <v>4704.84</v>
      </c>
      <c r="S25" s="4"/>
      <c r="X25" s="4"/>
    </row>
    <row r="26" spans="3:24" ht="12.75">
      <c r="C26" t="s">
        <v>33</v>
      </c>
      <c r="G26" s="4"/>
      <c r="I26" s="4">
        <f>2344.91+2344.52+2128.11+2021.93</f>
        <v>8839.470000000001</v>
      </c>
      <c r="J26" s="4" t="s">
        <v>18</v>
      </c>
      <c r="K26" s="4">
        <f>2425.2+2560++1102.73+4683.45</f>
        <v>10771.380000000001</v>
      </c>
      <c r="L26" s="4"/>
      <c r="M26" s="4">
        <f t="shared" si="2"/>
        <v>1931.9099999999999</v>
      </c>
      <c r="O26" s="4">
        <f>2254.32+2598.35+1201.19+4995.33</f>
        <v>11049.19</v>
      </c>
      <c r="Q26" s="4">
        <f t="shared" si="3"/>
        <v>2209.7199999999993</v>
      </c>
      <c r="S26" s="4"/>
      <c r="X26" s="4"/>
    </row>
    <row r="27" spans="3:24" ht="12.75">
      <c r="C27" t="s">
        <v>10</v>
      </c>
      <c r="G27" s="4"/>
      <c r="I27" s="4">
        <f>28095.9</f>
        <v>28095.9</v>
      </c>
      <c r="J27" s="4"/>
      <c r="K27" s="4">
        <f>12073.66</f>
        <v>12073.66</v>
      </c>
      <c r="L27" s="4"/>
      <c r="M27" s="4">
        <f t="shared" si="2"/>
        <v>-16022.240000000002</v>
      </c>
      <c r="O27" s="4">
        <f>10875.84</f>
        <v>10875.84</v>
      </c>
      <c r="Q27" s="4">
        <f t="shared" si="3"/>
        <v>-17220.06</v>
      </c>
      <c r="S27" s="4"/>
      <c r="X27" s="4"/>
    </row>
    <row r="28" spans="3:24" ht="12.75">
      <c r="C28" t="s">
        <v>11</v>
      </c>
      <c r="G28" s="4"/>
      <c r="I28" s="4">
        <f>1467.77</f>
        <v>1467.77</v>
      </c>
      <c r="J28" s="4"/>
      <c r="K28" s="4">
        <f>3410.18</f>
        <v>3410.18</v>
      </c>
      <c r="L28" s="4"/>
      <c r="M28" s="4">
        <f t="shared" si="2"/>
        <v>1942.4099999999999</v>
      </c>
      <c r="O28" s="4">
        <f>3321.42</f>
        <v>3321.42</v>
      </c>
      <c r="Q28" s="4">
        <f t="shared" si="3"/>
        <v>1853.65</v>
      </c>
      <c r="S28" s="4"/>
      <c r="X28" s="4"/>
    </row>
    <row r="29" spans="3:24" ht="12.75">
      <c r="C29" s="3" t="s">
        <v>40</v>
      </c>
      <c r="G29" s="4"/>
      <c r="I29" s="4">
        <f>17139.95</f>
        <v>17139.95</v>
      </c>
      <c r="J29" s="4"/>
      <c r="K29" s="4">
        <f>31276.38</f>
        <v>31276.38</v>
      </c>
      <c r="L29" s="4"/>
      <c r="M29" s="4">
        <f t="shared" si="2"/>
        <v>14136.43</v>
      </c>
      <c r="O29" s="4">
        <f>29193.38</f>
        <v>29193.38</v>
      </c>
      <c r="Q29" s="4">
        <f t="shared" si="3"/>
        <v>12053.43</v>
      </c>
      <c r="S29" s="4"/>
      <c r="X29" s="4"/>
    </row>
    <row r="30" spans="3:24" ht="12.75">
      <c r="C30" s="47" t="s">
        <v>41</v>
      </c>
      <c r="G30" s="4"/>
      <c r="I30" s="4">
        <f>15137.81</f>
        <v>15137.81</v>
      </c>
      <c r="J30" s="4"/>
      <c r="K30" s="4">
        <f>19300.41</f>
        <v>19300.41</v>
      </c>
      <c r="L30" s="4"/>
      <c r="M30" s="4">
        <f>SUM(K30-I30)</f>
        <v>4162.6</v>
      </c>
      <c r="O30" s="4">
        <f>22177.14</f>
        <v>22177.14</v>
      </c>
      <c r="Q30" s="4">
        <f>SUM(O30-I30)</f>
        <v>7039.33</v>
      </c>
      <c r="S30" s="4"/>
      <c r="X30" s="4"/>
    </row>
    <row r="31" spans="3:24" ht="12.75">
      <c r="C31" t="s">
        <v>17</v>
      </c>
      <c r="G31" s="4"/>
      <c r="I31" s="4">
        <v>0.41</v>
      </c>
      <c r="J31" s="4"/>
      <c r="K31" s="4">
        <v>0</v>
      </c>
      <c r="L31" s="4"/>
      <c r="M31" s="4">
        <f>SUM(K31-I31)</f>
        <v>-0.41</v>
      </c>
      <c r="O31" s="4">
        <v>0</v>
      </c>
      <c r="Q31" s="4">
        <f>SUM(O31-I31)</f>
        <v>-0.41</v>
      </c>
      <c r="S31" s="4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0</v>
      </c>
      <c r="L32" s="39"/>
      <c r="M32" s="4">
        <f>SUM(K32-I32)</f>
        <v>0</v>
      </c>
      <c r="N32" s="42"/>
      <c r="O32" s="39">
        <v>0</v>
      </c>
      <c r="P32" s="42"/>
      <c r="Q32" s="4">
        <f>SUM(O32-I32)</f>
        <v>0</v>
      </c>
      <c r="S32" s="4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X33" s="4"/>
    </row>
    <row r="34" spans="3:24" ht="12.75">
      <c r="C34" s="3" t="s">
        <v>15</v>
      </c>
      <c r="G34" s="5"/>
      <c r="I34" s="5">
        <f>SUM(I23:I32)</f>
        <v>186491.43</v>
      </c>
      <c r="J34" s="5"/>
      <c r="K34" s="5">
        <f>SUM(K23:K32)</f>
        <v>192572.5</v>
      </c>
      <c r="L34" s="5"/>
      <c r="M34" s="5">
        <f>SUM(M23:M32)</f>
        <v>6081.069999999994</v>
      </c>
      <c r="N34" s="4"/>
      <c r="O34" s="5">
        <f>SUM(O23:O32)</f>
        <v>197308.91000000003</v>
      </c>
      <c r="Q34" s="5">
        <f>SUM(Q23:Q32)</f>
        <v>10817.479999999998</v>
      </c>
      <c r="R34" s="4" t="s">
        <v>18</v>
      </c>
      <c r="S34" s="5"/>
      <c r="T34" s="3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S35" s="5"/>
      <c r="T35" s="3"/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X36" s="4"/>
    </row>
    <row r="37" spans="3:24" ht="12.75">
      <c r="C37" s="29" t="s">
        <v>28</v>
      </c>
      <c r="G37" s="4"/>
      <c r="I37" s="4">
        <v>0</v>
      </c>
      <c r="J37" s="4"/>
      <c r="K37" s="4">
        <v>-500</v>
      </c>
      <c r="L37" s="4"/>
      <c r="M37" s="4">
        <f>SUM(K37-I37)</f>
        <v>-500</v>
      </c>
      <c r="O37" s="4">
        <v>-475.42</v>
      </c>
      <c r="Q37" s="4">
        <f>SUM(O37-I37)</f>
        <v>-475.42</v>
      </c>
      <c r="S37" s="4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S38" s="4"/>
      <c r="W38" s="12"/>
      <c r="X38" s="4"/>
    </row>
    <row r="39" spans="3:24" s="8" customFormat="1" ht="12.75">
      <c r="C39" s="9" t="s">
        <v>16</v>
      </c>
      <c r="G39" s="10"/>
      <c r="I39" s="10">
        <f>SUM(I37:I37)</f>
        <v>0</v>
      </c>
      <c r="J39" s="10"/>
      <c r="K39" s="10">
        <f>SUM(K37:K37)</f>
        <v>-500</v>
      </c>
      <c r="L39" s="10"/>
      <c r="M39" s="4">
        <f>SUM(K39-I39)</f>
        <v>-500</v>
      </c>
      <c r="N39" s="10"/>
      <c r="O39" s="10">
        <f>SUM(O37:O37)</f>
        <v>-475.42</v>
      </c>
      <c r="Q39" s="4">
        <f>SUM(O39-I39)</f>
        <v>-475.42</v>
      </c>
      <c r="S39" s="10"/>
      <c r="T39" s="9"/>
      <c r="W39" s="35"/>
      <c r="X39" s="10"/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X40" s="10"/>
    </row>
    <row r="41" spans="2:24" ht="12.75">
      <c r="B41" s="57" t="s">
        <v>36</v>
      </c>
      <c r="C41" s="54"/>
      <c r="D41" s="54"/>
      <c r="E41" s="54"/>
      <c r="F41" s="54"/>
      <c r="G41" s="55"/>
      <c r="H41" s="54"/>
      <c r="I41" s="55">
        <f>I34+I39</f>
        <v>186491.43</v>
      </c>
      <c r="J41" s="55"/>
      <c r="K41" s="55">
        <f>K34+K39</f>
        <v>192072.5</v>
      </c>
      <c r="L41" s="55"/>
      <c r="M41" s="55">
        <f>M34+M39</f>
        <v>5581.069999999994</v>
      </c>
      <c r="N41" s="54"/>
      <c r="O41" s="55">
        <f>O34+O39</f>
        <v>196833.49000000002</v>
      </c>
      <c r="P41" s="54"/>
      <c r="Q41" s="55">
        <f>Q34+Q39</f>
        <v>10342.059999999998</v>
      </c>
      <c r="R41" s="4" t="s">
        <v>18</v>
      </c>
      <c r="S41" s="30"/>
      <c r="T41" s="12"/>
      <c r="U41" s="32" t="s">
        <v>18</v>
      </c>
      <c r="V41" s="12"/>
      <c r="W41" s="12"/>
      <c r="X41" s="30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19" ht="12.75">
      <c r="A43" s="3" t="s">
        <v>22</v>
      </c>
      <c r="G43" s="28"/>
      <c r="H43" s="34"/>
      <c r="I43" s="28">
        <f>I19-I41</f>
        <v>91426.07</v>
      </c>
      <c r="J43" s="28"/>
      <c r="K43" s="28">
        <f>K19-K41</f>
        <v>97316.11000000004</v>
      </c>
      <c r="L43" s="28"/>
      <c r="M43" s="28">
        <f>SUM(M41+M19)</f>
        <v>-5890.040000000006</v>
      </c>
      <c r="N43" s="34"/>
      <c r="O43" s="28">
        <f>O19-O41</f>
        <v>83106.32999999999</v>
      </c>
      <c r="P43" s="34"/>
      <c r="Q43" s="28">
        <f>Q19+Q41</f>
        <v>8319.73999999999</v>
      </c>
      <c r="S43" s="36"/>
    </row>
    <row r="44" spans="7:12" ht="12.75">
      <c r="G44" s="4"/>
      <c r="I44" s="4"/>
      <c r="J44" s="4"/>
      <c r="K44" s="4"/>
      <c r="L44" s="4"/>
    </row>
    <row r="45" spans="7:12" ht="12.75">
      <c r="G45" s="4"/>
      <c r="I45" s="4"/>
      <c r="J45" s="4"/>
      <c r="K45" s="4"/>
      <c r="L45" s="4"/>
    </row>
    <row r="46" spans="7:12" ht="12.75">
      <c r="G46" s="4"/>
      <c r="I46" s="4"/>
      <c r="J46" s="4"/>
      <c r="K46" s="4"/>
      <c r="L46" s="4"/>
    </row>
    <row r="47" spans="1:12" ht="12.75">
      <c r="A47" s="3"/>
      <c r="G47" s="4"/>
      <c r="I47" s="4"/>
      <c r="J47" s="4"/>
      <c r="K47" s="4"/>
      <c r="L47" s="4"/>
    </row>
    <row r="48" spans="1:12" ht="12.75">
      <c r="A48" s="3"/>
      <c r="G48" s="4"/>
      <c r="I48" s="4"/>
      <c r="J48" s="4"/>
      <c r="K48" s="4"/>
      <c r="L48" s="4"/>
    </row>
    <row r="49" spans="1:15" ht="12.75">
      <c r="A49" s="3"/>
      <c r="B49" s="3"/>
      <c r="G49" s="4"/>
      <c r="I49" s="4"/>
      <c r="J49" s="4"/>
      <c r="K49" s="4"/>
      <c r="L49" s="4"/>
      <c r="O49" s="5"/>
    </row>
    <row r="50" spans="7:12" ht="12.75">
      <c r="G50" s="4"/>
      <c r="I50" s="4"/>
      <c r="J50" s="4"/>
      <c r="K50" s="4"/>
      <c r="L50" s="4"/>
    </row>
    <row r="51" spans="7:12" ht="12.75">
      <c r="G51" s="4"/>
      <c r="I51" s="4"/>
      <c r="J51" s="4"/>
      <c r="K51" s="4"/>
      <c r="L51" s="4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 t="s">
        <v>18</v>
      </c>
      <c r="K56" s="4"/>
      <c r="L56" s="4"/>
    </row>
    <row r="57" spans="7:12" ht="12.75">
      <c r="G57" s="4"/>
      <c r="I57" s="4"/>
      <c r="J57" s="4"/>
      <c r="K57" s="4"/>
      <c r="L57" s="4"/>
    </row>
    <row r="58" spans="7:12" ht="12.75">
      <c r="G58" s="4"/>
      <c r="I58" s="4"/>
      <c r="J58" s="4"/>
      <c r="K58" s="4"/>
      <c r="L58" s="4"/>
    </row>
    <row r="59" spans="4:12" ht="12.75">
      <c r="D59" s="29"/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7:12" ht="12.75">
      <c r="G62" s="4"/>
      <c r="I62" s="4"/>
      <c r="J62" s="4"/>
      <c r="K62" s="4"/>
      <c r="L62" s="4"/>
    </row>
  </sheetData>
  <sheetProtection/>
  <printOptions/>
  <pageMargins left="0.7" right="0.7" top="0.75" bottom="0.75" header="0.3" footer="0.3"/>
  <pageSetup fitToHeight="0" orientation="landscape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62"/>
  <sheetViews>
    <sheetView zoomScalePageLayoutView="0" workbookViewId="0" topLeftCell="A1">
      <selection activeCell="V39" sqref="V39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19" max="19" width="11.140625" style="0" bestFit="1" customWidth="1"/>
    <col min="21" max="21" width="12.28125" style="0" bestFit="1" customWidth="1"/>
  </cols>
  <sheetData>
    <row r="1" s="1" customFormat="1" ht="18">
      <c r="D1" s="2" t="s">
        <v>0</v>
      </c>
    </row>
    <row r="2" spans="1:15" ht="15">
      <c r="A2" s="3"/>
      <c r="B2" s="3"/>
      <c r="D2" s="6" t="s">
        <v>5</v>
      </c>
      <c r="O2" s="20">
        <v>42325</v>
      </c>
    </row>
    <row r="3" spans="1:18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51</v>
      </c>
      <c r="J5" s="23"/>
      <c r="K5" s="23" t="s">
        <v>42</v>
      </c>
      <c r="L5" s="23"/>
      <c r="M5" s="26" t="s">
        <v>27</v>
      </c>
      <c r="O5" s="23" t="s">
        <v>51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363836.32+40790.4+3300</f>
        <v>407926.72000000003</v>
      </c>
      <c r="J8" s="4"/>
      <c r="K8" s="4">
        <f>409595</f>
        <v>409595</v>
      </c>
      <c r="L8" s="4"/>
      <c r="M8" s="4">
        <f aca="true" t="shared" si="0" ref="M8:M14">SUM(I8-K8)</f>
        <v>-1668.2799999999697</v>
      </c>
      <c r="O8" s="4">
        <f>378246.26+33426.32+3479.73</f>
        <v>415152.31</v>
      </c>
      <c r="Q8" s="4">
        <f aca="true" t="shared" si="1" ref="Q8:Q14">SUM(I8-O8)</f>
        <v>-7225.589999999967</v>
      </c>
      <c r="S8" s="4"/>
      <c r="U8" s="65"/>
      <c r="X8" s="4"/>
    </row>
    <row r="9" spans="4:24" ht="12.75">
      <c r="D9" t="s">
        <v>2</v>
      </c>
      <c r="G9" s="4"/>
      <c r="I9" s="4">
        <f>-3235.98</f>
        <v>-3235.98</v>
      </c>
      <c r="J9" s="4"/>
      <c r="K9" s="4">
        <f>24096</f>
        <v>24096</v>
      </c>
      <c r="L9" s="4"/>
      <c r="M9" s="4">
        <f t="shared" si="0"/>
        <v>-27331.98</v>
      </c>
      <c r="O9" s="4">
        <f>165448.61-173967.95</f>
        <v>-8519.340000000026</v>
      </c>
      <c r="Q9" s="4">
        <f t="shared" si="1"/>
        <v>5283.360000000026</v>
      </c>
      <c r="S9" s="4"/>
      <c r="U9" s="65"/>
      <c r="X9" s="4"/>
    </row>
    <row r="10" spans="4:24" ht="12.75">
      <c r="D10" t="s">
        <v>3</v>
      </c>
      <c r="G10" s="4"/>
      <c r="I10" s="4">
        <f>73755.26</f>
        <v>73755.26</v>
      </c>
      <c r="J10" s="4"/>
      <c r="K10" s="4">
        <f>47131</f>
        <v>47131</v>
      </c>
      <c r="L10" s="4"/>
      <c r="M10" s="4">
        <f t="shared" si="0"/>
        <v>26624.259999999995</v>
      </c>
      <c r="O10" s="4">
        <f>53957.38</f>
        <v>53957.38</v>
      </c>
      <c r="Q10" s="4">
        <f t="shared" si="1"/>
        <v>19797.879999999997</v>
      </c>
      <c r="S10" s="4"/>
      <c r="U10" s="65"/>
      <c r="X10" s="4"/>
    </row>
    <row r="11" spans="4:24" ht="12.75">
      <c r="D11" t="s">
        <v>31</v>
      </c>
      <c r="G11" s="4"/>
      <c r="I11" s="4">
        <f>1006.17+7033.39</f>
        <v>8039.56</v>
      </c>
      <c r="J11" s="4"/>
      <c r="K11" s="4">
        <f>10198</f>
        <v>10198</v>
      </c>
      <c r="L11" s="4"/>
      <c r="M11" s="4">
        <f t="shared" si="0"/>
        <v>-2158.4399999999996</v>
      </c>
      <c r="O11" s="4">
        <f>274.85+9064.52</f>
        <v>9339.37</v>
      </c>
      <c r="Q11" s="4">
        <f t="shared" si="1"/>
        <v>-1299.8100000000004</v>
      </c>
      <c r="U11" s="65"/>
      <c r="X11" s="4"/>
    </row>
    <row r="12" spans="4:24" ht="12.75">
      <c r="D12" t="s">
        <v>30</v>
      </c>
      <c r="G12" s="4"/>
      <c r="I12" s="4">
        <f>38.8</f>
        <v>38.8</v>
      </c>
      <c r="J12" s="4"/>
      <c r="K12" s="4">
        <f>6039</f>
        <v>6039</v>
      </c>
      <c r="L12" s="4"/>
      <c r="M12" s="4">
        <f t="shared" si="0"/>
        <v>-6000.2</v>
      </c>
      <c r="O12" s="4">
        <f>2745.53</f>
        <v>2745.53</v>
      </c>
      <c r="Q12" s="4">
        <f t="shared" si="1"/>
        <v>-2706.73</v>
      </c>
      <c r="S12" s="4"/>
      <c r="U12" s="65"/>
      <c r="X12" s="4"/>
    </row>
    <row r="13" spans="4:24" ht="12.75">
      <c r="D13" t="s">
        <v>29</v>
      </c>
      <c r="G13" s="4"/>
      <c r="I13" s="4">
        <f>819</f>
        <v>819</v>
      </c>
      <c r="J13" s="4"/>
      <c r="K13" s="4">
        <v>0</v>
      </c>
      <c r="L13" s="4"/>
      <c r="M13" s="4">
        <f t="shared" si="0"/>
        <v>819</v>
      </c>
      <c r="O13" s="4">
        <v>0</v>
      </c>
      <c r="Q13" s="4">
        <f t="shared" si="1"/>
        <v>819</v>
      </c>
      <c r="S13" s="4"/>
      <c r="U13" s="65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U14" s="65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487343.36000000004</v>
      </c>
      <c r="J16" s="5"/>
      <c r="K16" s="5">
        <f>SUM(K8:K14)</f>
        <v>497059</v>
      </c>
      <c r="L16" s="5"/>
      <c r="M16" s="5">
        <f>SUM(M8:M14)</f>
        <v>-9715.639999999974</v>
      </c>
      <c r="N16" s="5"/>
      <c r="O16" s="5">
        <f>SUM(O8:O14)</f>
        <v>472675.25</v>
      </c>
      <c r="Q16" s="5">
        <f>SUM(Q8:Q14)</f>
        <v>14668.110000000055</v>
      </c>
      <c r="U16" s="5"/>
      <c r="V16" s="4">
        <f>472675+173967.95+22679.78</f>
        <v>669322.73</v>
      </c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58" customFormat="1" ht="12.75">
      <c r="B19" s="59" t="s">
        <v>34</v>
      </c>
      <c r="C19" s="60"/>
      <c r="G19" s="61"/>
      <c r="I19" s="61">
        <f>I16</f>
        <v>487343.36000000004</v>
      </c>
      <c r="J19" s="61"/>
      <c r="K19" s="61">
        <f>K16</f>
        <v>497059</v>
      </c>
      <c r="L19" s="61"/>
      <c r="M19" s="61">
        <f>M16</f>
        <v>-9715.639999999974</v>
      </c>
      <c r="O19" s="61">
        <f>O16</f>
        <v>472675.25</v>
      </c>
      <c r="Q19" s="62">
        <f>SUM(I19-O19)</f>
        <v>14668.110000000044</v>
      </c>
      <c r="S19" s="61"/>
      <c r="U19" s="61"/>
      <c r="X19" s="61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f>51633.48</f>
        <v>51633.48</v>
      </c>
      <c r="J23" s="4"/>
      <c r="K23" s="4">
        <f>50500</f>
        <v>50500</v>
      </c>
      <c r="L23" s="4"/>
      <c r="M23" s="4">
        <f aca="true" t="shared" si="2" ref="M23:M29">SUM(K23-I23)</f>
        <v>-1133.4800000000032</v>
      </c>
      <c r="O23" s="4">
        <f>50645</f>
        <v>50645</v>
      </c>
      <c r="Q23" s="4">
        <f aca="true" t="shared" si="3" ref="Q23:Q29">SUM(O23-I23)</f>
        <v>-988.4800000000032</v>
      </c>
      <c r="S23" s="4"/>
      <c r="U23" s="65"/>
      <c r="X23" s="4"/>
    </row>
    <row r="24" spans="3:24" ht="12.75">
      <c r="C24" t="s">
        <v>9</v>
      </c>
      <c r="G24" s="4"/>
      <c r="I24" s="4">
        <f>17002.39+124613.87+14346.2+15816.11</f>
        <v>171778.57</v>
      </c>
      <c r="J24" s="4"/>
      <c r="K24" s="4">
        <f>171950</f>
        <v>171950</v>
      </c>
      <c r="L24" s="4"/>
      <c r="M24" s="4">
        <f t="shared" si="2"/>
        <v>171.42999999999302</v>
      </c>
      <c r="O24" s="4">
        <f>20861.18+134035.69+18797.87</f>
        <v>173694.74</v>
      </c>
      <c r="Q24" s="4">
        <f t="shared" si="3"/>
        <v>1916.1699999999837</v>
      </c>
      <c r="S24" s="4"/>
      <c r="U24" s="65"/>
      <c r="X24" s="4"/>
    </row>
    <row r="25" spans="3:24" ht="12.75">
      <c r="C25" s="3" t="s">
        <v>12</v>
      </c>
      <c r="G25" s="4"/>
      <c r="I25" s="4">
        <v>39713.31</v>
      </c>
      <c r="J25" s="4"/>
      <c r="K25" s="4">
        <f>40671</f>
        <v>40671</v>
      </c>
      <c r="L25" s="4"/>
      <c r="M25" s="4">
        <f t="shared" si="2"/>
        <v>957.6900000000023</v>
      </c>
      <c r="O25" s="4">
        <f>49311.8</f>
        <v>49311.8</v>
      </c>
      <c r="Q25" s="4">
        <f t="shared" si="3"/>
        <v>9598.490000000005</v>
      </c>
      <c r="S25" s="4"/>
      <c r="U25" s="65"/>
      <c r="X25" s="4"/>
    </row>
    <row r="26" spans="3:24" ht="12.75">
      <c r="C26" t="s">
        <v>33</v>
      </c>
      <c r="G26" s="4"/>
      <c r="I26" s="4">
        <f>5383.44+13087.18+4203.35+7203.17</f>
        <v>29877.14</v>
      </c>
      <c r="J26" s="4" t="s">
        <v>18</v>
      </c>
      <c r="K26" s="4">
        <f>22914</f>
        <v>22914</v>
      </c>
      <c r="L26" s="4"/>
      <c r="M26" s="4">
        <f t="shared" si="2"/>
        <v>-6963.139999999999</v>
      </c>
      <c r="O26" s="4">
        <f>4434.79+5531.46+2970.65+11108.95</f>
        <v>24045.85</v>
      </c>
      <c r="Q26" s="4">
        <f t="shared" si="3"/>
        <v>-5831.290000000001</v>
      </c>
      <c r="S26" s="4"/>
      <c r="U26" s="65"/>
      <c r="X26" s="4"/>
    </row>
    <row r="27" spans="3:24" ht="12.75">
      <c r="C27" t="s">
        <v>10</v>
      </c>
      <c r="G27" s="4"/>
      <c r="I27" s="4">
        <f>53254.92</f>
        <v>53254.92</v>
      </c>
      <c r="J27" s="4"/>
      <c r="K27" s="4">
        <f>43659</f>
        <v>43659</v>
      </c>
      <c r="L27" s="4"/>
      <c r="M27" s="4">
        <f t="shared" si="2"/>
        <v>-9595.919999999998</v>
      </c>
      <c r="O27" s="4">
        <f>41337.59</f>
        <v>41337.59</v>
      </c>
      <c r="Q27" s="4">
        <f t="shared" si="3"/>
        <v>-11917.330000000002</v>
      </c>
      <c r="S27" s="4"/>
      <c r="U27" s="65"/>
      <c r="X27" s="4"/>
    </row>
    <row r="28" spans="3:24" ht="12.75">
      <c r="C28" t="s">
        <v>11</v>
      </c>
      <c r="G28" s="4"/>
      <c r="I28" s="4">
        <v>4102.02</v>
      </c>
      <c r="J28" s="4"/>
      <c r="K28" s="4">
        <f>6793</f>
        <v>6793</v>
      </c>
      <c r="L28" s="4"/>
      <c r="M28" s="4">
        <f t="shared" si="2"/>
        <v>2690.9799999999996</v>
      </c>
      <c r="O28" s="4">
        <f>6614.26</f>
        <v>6614.26</v>
      </c>
      <c r="Q28" s="4">
        <f t="shared" si="3"/>
        <v>2512.24</v>
      </c>
      <c r="S28" s="4"/>
      <c r="U28" s="65"/>
      <c r="X28" s="4"/>
    </row>
    <row r="29" spans="3:24" ht="12.75">
      <c r="C29" s="3" t="s">
        <v>40</v>
      </c>
      <c r="G29" s="4"/>
      <c r="I29" s="4">
        <v>77452.1</v>
      </c>
      <c r="J29" s="4"/>
      <c r="K29" s="4">
        <f>53303</f>
        <v>53303</v>
      </c>
      <c r="L29" s="4"/>
      <c r="M29" s="4">
        <f t="shared" si="2"/>
        <v>-24149.100000000006</v>
      </c>
      <c r="O29" s="4">
        <f>118629.8</f>
        <v>118629.8</v>
      </c>
      <c r="Q29" s="4">
        <f t="shared" si="3"/>
        <v>41177.7</v>
      </c>
      <c r="S29" s="4"/>
      <c r="U29" s="65"/>
      <c r="X29" s="4"/>
    </row>
    <row r="30" spans="3:24" ht="12.75">
      <c r="C30" s="47" t="s">
        <v>41</v>
      </c>
      <c r="G30" s="4"/>
      <c r="I30" s="4">
        <v>30124.92</v>
      </c>
      <c r="J30" s="4"/>
      <c r="K30" s="4">
        <f>44497</f>
        <v>44497</v>
      </c>
      <c r="L30" s="4"/>
      <c r="M30" s="4">
        <f>SUM(K30-I30)</f>
        <v>14372.080000000002</v>
      </c>
      <c r="O30" s="4">
        <f>51537.12</f>
        <v>51537.12</v>
      </c>
      <c r="Q30" s="4">
        <f>SUM(O30-I30)</f>
        <v>21412.200000000004</v>
      </c>
      <c r="S30" s="4"/>
      <c r="U30" s="65"/>
      <c r="X30" s="4"/>
    </row>
    <row r="31" spans="3:24" ht="12.75">
      <c r="C31" t="s">
        <v>17</v>
      </c>
      <c r="G31" s="4"/>
      <c r="I31" s="4">
        <v>0.41</v>
      </c>
      <c r="J31" s="4"/>
      <c r="K31" s="4">
        <v>0</v>
      </c>
      <c r="L31" s="4"/>
      <c r="M31" s="4">
        <f>SUM(K31-I31)</f>
        <v>-0.41</v>
      </c>
      <c r="O31" s="4">
        <v>0</v>
      </c>
      <c r="Q31" s="4">
        <f>SUM(O31-I31)</f>
        <v>-0.41</v>
      </c>
      <c r="S31" s="4"/>
      <c r="U31" s="65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0</v>
      </c>
      <c r="L32" s="39"/>
      <c r="M32" s="4">
        <f>SUM(K32-I32)</f>
        <v>0</v>
      </c>
      <c r="N32" s="42"/>
      <c r="O32" s="39">
        <v>0</v>
      </c>
      <c r="P32" s="42"/>
      <c r="Q32" s="4">
        <f>SUM(O32-I32)</f>
        <v>0</v>
      </c>
      <c r="S32" s="4"/>
      <c r="U32" s="65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U33" s="65"/>
      <c r="X33" s="4"/>
    </row>
    <row r="34" spans="3:24" ht="12.75">
      <c r="C34" s="3" t="s">
        <v>15</v>
      </c>
      <c r="G34" s="5"/>
      <c r="I34" s="5">
        <f>SUM(I23:I32)</f>
        <v>457936.87</v>
      </c>
      <c r="J34" s="5"/>
      <c r="K34" s="5">
        <f>SUM(K23:K32)</f>
        <v>434287</v>
      </c>
      <c r="L34" s="5"/>
      <c r="M34" s="5">
        <f>SUM(M23:M32)</f>
        <v>-23649.870000000006</v>
      </c>
      <c r="N34" s="4"/>
      <c r="O34" s="5">
        <f>SUM(O23:O32)</f>
        <v>515816.16</v>
      </c>
      <c r="Q34" s="5">
        <f>SUM(Q23:Q32)</f>
        <v>57879.28999999998</v>
      </c>
      <c r="R34" s="4" t="s">
        <v>18</v>
      </c>
      <c r="S34" s="5"/>
      <c r="T34" s="3"/>
      <c r="U34" s="5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S35" s="5"/>
      <c r="T35" s="3"/>
      <c r="U35" s="65"/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U36" s="65"/>
      <c r="X36" s="4"/>
    </row>
    <row r="37" spans="3:24" ht="12.75">
      <c r="C37" s="29" t="s">
        <v>28</v>
      </c>
      <c r="G37" s="4"/>
      <c r="I37" s="4">
        <f>35904.25</f>
        <v>35904.25</v>
      </c>
      <c r="J37" s="4"/>
      <c r="K37" s="4">
        <f>33911</f>
        <v>33911</v>
      </c>
      <c r="L37" s="4"/>
      <c r="M37" s="4">
        <f>SUM(K37-I37)</f>
        <v>-1993.25</v>
      </c>
      <c r="O37" s="4">
        <f>32243.53</f>
        <v>32243.53</v>
      </c>
      <c r="Q37" s="4">
        <f>SUM(O37-I37)</f>
        <v>-3660.720000000001</v>
      </c>
      <c r="S37" s="4"/>
      <c r="U37" s="65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S38" s="4"/>
      <c r="U38" s="65"/>
      <c r="W38" s="12"/>
      <c r="X38" s="4"/>
    </row>
    <row r="39" spans="3:24" s="8" customFormat="1" ht="12.75">
      <c r="C39" s="9" t="s">
        <v>16</v>
      </c>
      <c r="G39" s="10"/>
      <c r="I39" s="10">
        <f>SUM(I37:I37)</f>
        <v>35904.25</v>
      </c>
      <c r="J39" s="10"/>
      <c r="K39" s="10">
        <f>SUM(K37:K37)</f>
        <v>33911</v>
      </c>
      <c r="L39" s="10"/>
      <c r="M39" s="4">
        <f>SUM(K39-I39)</f>
        <v>-1993.25</v>
      </c>
      <c r="N39" s="10"/>
      <c r="O39" s="10">
        <f>SUM(O37:O37)</f>
        <v>32243.53</v>
      </c>
      <c r="Q39" s="4">
        <f>SUM(O39-I39)</f>
        <v>-3660.720000000001</v>
      </c>
      <c r="T39" s="9"/>
      <c r="U39" s="10"/>
      <c r="V39" s="10">
        <f>548060+173967.95+19432.9</f>
        <v>741460.85</v>
      </c>
      <c r="W39" s="35"/>
      <c r="X39" s="10"/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U40" s="66"/>
      <c r="X40" s="10"/>
    </row>
    <row r="41" spans="2:24" s="58" customFormat="1" ht="12.75">
      <c r="B41" s="63" t="s">
        <v>36</v>
      </c>
      <c r="G41" s="61"/>
      <c r="I41" s="61">
        <f>I34+I39</f>
        <v>493841.12</v>
      </c>
      <c r="J41" s="61"/>
      <c r="K41" s="61">
        <f>K34+K39</f>
        <v>468198</v>
      </c>
      <c r="L41" s="61"/>
      <c r="M41" s="61">
        <f>M34+M39</f>
        <v>-25643.120000000006</v>
      </c>
      <c r="O41" s="61">
        <f>O34+O39</f>
        <v>548059.69</v>
      </c>
      <c r="Q41" s="61">
        <f>Q34+Q39</f>
        <v>54218.56999999998</v>
      </c>
      <c r="R41" s="64" t="s">
        <v>18</v>
      </c>
      <c r="S41" s="61"/>
      <c r="U41" s="61"/>
      <c r="X41" s="61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21" s="58" customFormat="1" ht="12.75">
      <c r="A43" s="63" t="s">
        <v>22</v>
      </c>
      <c r="G43" s="62"/>
      <c r="I43" s="62">
        <f>I19-I41</f>
        <v>-6497.759999999951</v>
      </c>
      <c r="J43" s="62"/>
      <c r="K43" s="62">
        <f>K19-K41</f>
        <v>28861</v>
      </c>
      <c r="L43" s="62"/>
      <c r="M43" s="62">
        <f>SUM(M41+M19)</f>
        <v>-35358.75999999998</v>
      </c>
      <c r="O43" s="62">
        <f>O19-O41</f>
        <v>-75384.43999999994</v>
      </c>
      <c r="Q43" s="62">
        <f>Q19+Q41</f>
        <v>68886.68000000002</v>
      </c>
      <c r="S43" s="62"/>
      <c r="U43" s="62"/>
    </row>
    <row r="44" spans="7:12" ht="12.75">
      <c r="G44" s="4"/>
      <c r="I44" s="4"/>
      <c r="J44" s="4"/>
      <c r="K44" s="4"/>
      <c r="L44" s="4"/>
    </row>
    <row r="45" spans="7:12" ht="12.75">
      <c r="G45" s="4"/>
      <c r="I45" s="4"/>
      <c r="J45" s="4"/>
      <c r="K45" s="4"/>
      <c r="L45" s="4"/>
    </row>
    <row r="46" spans="7:12" ht="12.75">
      <c r="G46" s="4"/>
      <c r="I46" s="4"/>
      <c r="J46" s="4"/>
      <c r="K46" s="4"/>
      <c r="L46" s="4"/>
    </row>
    <row r="47" spans="1:12" ht="12.75">
      <c r="A47" s="3"/>
      <c r="G47" s="4"/>
      <c r="I47" s="4"/>
      <c r="J47" s="4"/>
      <c r="K47" s="4"/>
      <c r="L47" s="4"/>
    </row>
    <row r="48" spans="1:12" ht="12.75">
      <c r="A48" s="3"/>
      <c r="G48" s="4"/>
      <c r="I48" s="4"/>
      <c r="J48" s="4"/>
      <c r="K48" s="4"/>
      <c r="L48" s="4"/>
    </row>
    <row r="49" spans="1:15" ht="12.75">
      <c r="A49" s="3"/>
      <c r="B49" s="3"/>
      <c r="G49" s="4"/>
      <c r="I49" s="4"/>
      <c r="J49" s="4"/>
      <c r="K49" s="4"/>
      <c r="L49" s="4"/>
      <c r="O49" s="5"/>
    </row>
    <row r="50" spans="7:12" ht="12.75">
      <c r="G50" s="4"/>
      <c r="I50" s="4"/>
      <c r="J50" s="4"/>
      <c r="K50" s="4"/>
      <c r="L50" s="4"/>
    </row>
    <row r="51" spans="7:12" ht="12.75">
      <c r="G51" s="4"/>
      <c r="I51" s="4"/>
      <c r="J51" s="4"/>
      <c r="K51" s="4"/>
      <c r="L51" s="4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 t="s">
        <v>18</v>
      </c>
      <c r="K56" s="4"/>
      <c r="L56" s="4"/>
    </row>
    <row r="57" spans="7:12" ht="12.75">
      <c r="G57" s="4"/>
      <c r="I57" s="4"/>
      <c r="J57" s="4"/>
      <c r="K57" s="4"/>
      <c r="L57" s="4"/>
    </row>
    <row r="58" spans="7:12" ht="12.75">
      <c r="G58" s="4"/>
      <c r="I58" s="4"/>
      <c r="J58" s="4"/>
      <c r="K58" s="4"/>
      <c r="L58" s="4"/>
    </row>
    <row r="59" spans="4:12" ht="12.75">
      <c r="D59" s="29"/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7:12" ht="12.75">
      <c r="G62" s="4"/>
      <c r="I62" s="4"/>
      <c r="J62" s="4"/>
      <c r="K62" s="4"/>
      <c r="L62" s="4"/>
    </row>
  </sheetData>
  <sheetProtection/>
  <printOptions/>
  <pageMargins left="0.7" right="0.7" top="0.75" bottom="0.75" header="0.3" footer="0.3"/>
  <pageSetup orientation="landscape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62"/>
  <sheetViews>
    <sheetView zoomScalePageLayoutView="0" workbookViewId="0" topLeftCell="A1">
      <selection activeCell="R25" sqref="R25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19" max="19" width="11.140625" style="0" bestFit="1" customWidth="1"/>
    <col min="21" max="21" width="12.28125" style="0" hidden="1" customWidth="1"/>
    <col min="22" max="24" width="0" style="0" hidden="1" customWidth="1"/>
  </cols>
  <sheetData>
    <row r="1" s="1" customFormat="1" ht="18">
      <c r="D1" s="2" t="s">
        <v>0</v>
      </c>
    </row>
    <row r="2" spans="1:15" ht="15">
      <c r="A2" s="3"/>
      <c r="B2" s="3"/>
      <c r="D2" s="6" t="s">
        <v>5</v>
      </c>
      <c r="O2" s="20">
        <v>42537</v>
      </c>
    </row>
    <row r="3" spans="1:18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52</v>
      </c>
      <c r="J5" s="23"/>
      <c r="K5" s="23" t="s">
        <v>53</v>
      </c>
      <c r="L5" s="23"/>
      <c r="M5" s="26" t="s">
        <v>27</v>
      </c>
      <c r="O5" s="23" t="s">
        <v>52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1030803.11+294872.15+7325</f>
        <v>1333000.26</v>
      </c>
      <c r="J8" s="4"/>
      <c r="K8" s="4">
        <f>1025154.24+267796.06+11442.81</f>
        <v>1304393.11</v>
      </c>
      <c r="L8" s="4"/>
      <c r="M8" s="4">
        <f aca="true" t="shared" si="0" ref="M8:M14">SUM(I8-K8)</f>
        <v>28607.149999999907</v>
      </c>
      <c r="O8" s="4">
        <f>1044308.09+258062.67+10569.45</f>
        <v>1312940.21</v>
      </c>
      <c r="Q8" s="4">
        <f aca="true" t="shared" si="1" ref="Q8:Q14">SUM(I8-O8)</f>
        <v>20060.050000000047</v>
      </c>
      <c r="S8" s="4"/>
      <c r="U8" s="65"/>
      <c r="X8" s="4"/>
    </row>
    <row r="9" spans="4:24" ht="12.75">
      <c r="D9" t="s">
        <v>2</v>
      </c>
      <c r="G9" s="4"/>
      <c r="I9" s="4">
        <v>32090.06</v>
      </c>
      <c r="J9" s="4"/>
      <c r="K9" s="4">
        <f>555795.76-537706.4</f>
        <v>18089.359999999986</v>
      </c>
      <c r="L9" s="4"/>
      <c r="M9" s="4">
        <f t="shared" si="0"/>
        <v>14000.700000000015</v>
      </c>
      <c r="O9" s="4">
        <f>470876.96-491488.79</f>
        <v>-20611.829999999958</v>
      </c>
      <c r="Q9" s="4">
        <f t="shared" si="1"/>
        <v>52701.889999999956</v>
      </c>
      <c r="S9" s="4"/>
      <c r="U9" s="65"/>
      <c r="X9" s="4"/>
    </row>
    <row r="10" spans="4:24" ht="12.75">
      <c r="D10" t="s">
        <v>3</v>
      </c>
      <c r="G10" s="4"/>
      <c r="I10" s="4">
        <v>103771.15</v>
      </c>
      <c r="J10" s="4"/>
      <c r="K10" s="4">
        <v>88061.89</v>
      </c>
      <c r="L10" s="4"/>
      <c r="M10" s="4">
        <f t="shared" si="0"/>
        <v>15709.259999999995</v>
      </c>
      <c r="O10" s="4">
        <v>94039.45</v>
      </c>
      <c r="Q10" s="4">
        <f t="shared" si="1"/>
        <v>9731.699999999997</v>
      </c>
      <c r="S10" s="4"/>
      <c r="U10" s="65"/>
      <c r="X10" s="4"/>
    </row>
    <row r="11" spans="4:24" ht="12.75">
      <c r="D11" t="s">
        <v>31</v>
      </c>
      <c r="G11" s="4"/>
      <c r="I11" s="4">
        <f>2805.07+27367.55</f>
        <v>30172.62</v>
      </c>
      <c r="J11" s="4"/>
      <c r="K11" s="4">
        <f>1554.48+25681.72</f>
        <v>27236.2</v>
      </c>
      <c r="L11" s="4"/>
      <c r="M11" s="4">
        <f t="shared" si="0"/>
        <v>2936.4199999999983</v>
      </c>
      <c r="O11" s="4">
        <f>736.86+24533.71</f>
        <v>25270.57</v>
      </c>
      <c r="Q11" s="4">
        <f t="shared" si="1"/>
        <v>4902.049999999999</v>
      </c>
      <c r="S11" s="4"/>
      <c r="U11" s="65"/>
      <c r="X11" s="4"/>
    </row>
    <row r="12" spans="4:24" ht="12.75">
      <c r="D12" t="s">
        <v>30</v>
      </c>
      <c r="G12" s="4"/>
      <c r="I12" s="4">
        <v>4349.52</v>
      </c>
      <c r="J12" s="4"/>
      <c r="K12" s="4">
        <v>18425.57</v>
      </c>
      <c r="L12" s="4"/>
      <c r="M12" s="4">
        <f t="shared" si="0"/>
        <v>-14076.05</v>
      </c>
      <c r="O12" s="4">
        <v>8488.82</v>
      </c>
      <c r="Q12" s="4">
        <f t="shared" si="1"/>
        <v>-4139.299999999999</v>
      </c>
      <c r="S12" s="4"/>
      <c r="U12" s="65"/>
      <c r="X12" s="4"/>
    </row>
    <row r="13" spans="4:24" ht="12.75">
      <c r="D13" t="s">
        <v>29</v>
      </c>
      <c r="G13" s="4"/>
      <c r="I13" s="4">
        <v>1858.6</v>
      </c>
      <c r="J13" s="4"/>
      <c r="K13" s="4">
        <v>0</v>
      </c>
      <c r="L13" s="4"/>
      <c r="M13" s="4">
        <f t="shared" si="0"/>
        <v>1858.6</v>
      </c>
      <c r="O13" s="4">
        <v>0</v>
      </c>
      <c r="Q13" s="4">
        <f t="shared" si="1"/>
        <v>1858.6</v>
      </c>
      <c r="S13" s="4"/>
      <c r="U13" s="65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U14" s="65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1505242.2100000002</v>
      </c>
      <c r="J16" s="5"/>
      <c r="K16" s="5">
        <f>SUM(K8:K14)</f>
        <v>1456206.1300000001</v>
      </c>
      <c r="L16" s="5"/>
      <c r="M16" s="5">
        <f>SUM(M8:M14)</f>
        <v>49036.07999999991</v>
      </c>
      <c r="N16" s="5"/>
      <c r="O16" s="5">
        <f>SUM(O8:O14)</f>
        <v>1420127.22</v>
      </c>
      <c r="Q16" s="5">
        <f>SUM(Q8:Q14)</f>
        <v>85114.99</v>
      </c>
      <c r="S16" s="5"/>
      <c r="U16" s="5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58" customFormat="1" ht="12.75">
      <c r="B19" s="59" t="s">
        <v>34</v>
      </c>
      <c r="C19" s="60"/>
      <c r="G19" s="61"/>
      <c r="I19" s="61">
        <f>I16</f>
        <v>1505242.2100000002</v>
      </c>
      <c r="J19" s="61"/>
      <c r="K19" s="61">
        <f>K16</f>
        <v>1456206.1300000001</v>
      </c>
      <c r="L19" s="61"/>
      <c r="M19" s="61">
        <f>M16</f>
        <v>49036.07999999991</v>
      </c>
      <c r="O19" s="61">
        <f>O16</f>
        <v>1420127.22</v>
      </c>
      <c r="Q19" s="62">
        <f>SUM(I19-O19)</f>
        <v>85114.99000000022</v>
      </c>
      <c r="S19" s="61"/>
      <c r="U19" s="61"/>
      <c r="X19" s="61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141992.07</v>
      </c>
      <c r="J23" s="4"/>
      <c r="K23" s="4">
        <v>138875</v>
      </c>
      <c r="L23" s="4"/>
      <c r="M23" s="4">
        <f aca="true" t="shared" si="2" ref="M23:M29">SUM(K23-I23)</f>
        <v>-3117.070000000007</v>
      </c>
      <c r="O23" s="4">
        <v>139273.75</v>
      </c>
      <c r="Q23" s="4">
        <f aca="true" t="shared" si="3" ref="Q23:Q29">SUM(O23-I23)</f>
        <v>-2718.320000000007</v>
      </c>
      <c r="S23" s="4"/>
      <c r="U23" s="65"/>
      <c r="X23" s="4"/>
    </row>
    <row r="24" spans="3:24" ht="12.75">
      <c r="C24" t="s">
        <v>9</v>
      </c>
      <c r="G24" s="4"/>
      <c r="I24" s="4">
        <f>55590.04+413531.6+39452.41+55815.93</f>
        <v>564389.98</v>
      </c>
      <c r="J24" s="4"/>
      <c r="K24" s="4">
        <f>58885.27+343375.75+36809.71+51689.25</f>
        <v>490759.98000000004</v>
      </c>
      <c r="L24" s="4"/>
      <c r="M24" s="4">
        <f t="shared" si="2"/>
        <v>-73629.99999999994</v>
      </c>
      <c r="O24" s="4">
        <f>62471.96+385297.89+36933.44+52721.3</f>
        <v>537424.5900000001</v>
      </c>
      <c r="Q24" s="4">
        <f t="shared" si="3"/>
        <v>-26965.389999999898</v>
      </c>
      <c r="S24" s="4"/>
      <c r="U24" s="65"/>
      <c r="X24" s="4"/>
    </row>
    <row r="25" spans="3:24" ht="12.75">
      <c r="C25" s="3" t="s">
        <v>12</v>
      </c>
      <c r="G25" s="4"/>
      <c r="I25" s="4">
        <v>129768.8</v>
      </c>
      <c r="J25" s="4"/>
      <c r="K25" s="4">
        <v>119306.71</v>
      </c>
      <c r="L25" s="4"/>
      <c r="M25" s="4">
        <f t="shared" si="2"/>
        <v>-10462.089999999997</v>
      </c>
      <c r="O25" s="4">
        <v>145991.26</v>
      </c>
      <c r="Q25" s="4">
        <f t="shared" si="3"/>
        <v>16222.460000000006</v>
      </c>
      <c r="S25" s="4"/>
      <c r="U25" s="65"/>
      <c r="X25" s="4"/>
    </row>
    <row r="26" spans="3:24" ht="12.75">
      <c r="C26" t="s">
        <v>33</v>
      </c>
      <c r="G26" s="4"/>
      <c r="I26" s="4">
        <f>17842.28+27346.79+10559.11+21818.65</f>
        <v>77566.83</v>
      </c>
      <c r="J26" s="4" t="s">
        <v>18</v>
      </c>
      <c r="K26" s="4">
        <f>25299.62+26734.18+8553.24+29765.63</f>
        <v>90352.67</v>
      </c>
      <c r="L26" s="4"/>
      <c r="M26" s="4">
        <f t="shared" si="2"/>
        <v>12785.839999999997</v>
      </c>
      <c r="O26" s="4">
        <f>17918.02+28589.21+9523.81+32200.67</f>
        <v>88231.70999999999</v>
      </c>
      <c r="Q26" s="4">
        <f t="shared" si="3"/>
        <v>10664.87999999999</v>
      </c>
      <c r="S26" s="4"/>
      <c r="U26" s="65"/>
      <c r="X26" s="4"/>
    </row>
    <row r="27" spans="3:24" ht="12.75">
      <c r="C27" t="s">
        <v>10</v>
      </c>
      <c r="G27" s="4"/>
      <c r="I27" s="4">
        <v>98364.08</v>
      </c>
      <c r="J27" s="4"/>
      <c r="K27" s="4">
        <v>79914.13</v>
      </c>
      <c r="L27" s="4"/>
      <c r="M27" s="4">
        <f t="shared" si="2"/>
        <v>-18449.949999999997</v>
      </c>
      <c r="O27" s="4">
        <v>88325.49</v>
      </c>
      <c r="Q27" s="4">
        <f t="shared" si="3"/>
        <v>-10038.589999999997</v>
      </c>
      <c r="S27" s="4"/>
      <c r="U27" s="65"/>
      <c r="X27" s="4"/>
    </row>
    <row r="28" spans="3:24" ht="12.75">
      <c r="C28" t="s">
        <v>11</v>
      </c>
      <c r="G28" s="4"/>
      <c r="I28" s="4">
        <v>17871.11</v>
      </c>
      <c r="J28" s="4"/>
      <c r="K28" s="4">
        <v>20392.69</v>
      </c>
      <c r="L28" s="4"/>
      <c r="M28" s="4">
        <f t="shared" si="2"/>
        <v>2521.579999999998</v>
      </c>
      <c r="O28" s="4">
        <v>19991.22</v>
      </c>
      <c r="Q28" s="4">
        <f t="shared" si="3"/>
        <v>2120.1100000000006</v>
      </c>
      <c r="S28" s="4"/>
      <c r="U28" s="65"/>
      <c r="X28" s="4"/>
    </row>
    <row r="29" spans="3:24" ht="12.75">
      <c r="C29" s="3" t="s">
        <v>40</v>
      </c>
      <c r="G29" s="4"/>
      <c r="I29" s="4">
        <v>166898.77</v>
      </c>
      <c r="J29" s="4"/>
      <c r="K29" s="4">
        <v>134744.95</v>
      </c>
      <c r="L29" s="4"/>
      <c r="M29" s="4">
        <f t="shared" si="2"/>
        <v>-32153.819999999978</v>
      </c>
      <c r="O29" s="4">
        <v>215875.16</v>
      </c>
      <c r="Q29" s="4">
        <f t="shared" si="3"/>
        <v>48976.390000000014</v>
      </c>
      <c r="S29" s="4"/>
      <c r="U29" s="65"/>
      <c r="X29" s="4"/>
    </row>
    <row r="30" spans="3:24" ht="12.75">
      <c r="C30" s="47" t="s">
        <v>41</v>
      </c>
      <c r="G30" s="4"/>
      <c r="I30" s="4">
        <v>75258.79</v>
      </c>
      <c r="J30" s="4"/>
      <c r="K30" s="4">
        <v>105281.98</v>
      </c>
      <c r="L30" s="4"/>
      <c r="M30" s="4">
        <f>SUM(K30-I30)</f>
        <v>30023.190000000002</v>
      </c>
      <c r="O30" s="4">
        <v>120979.17</v>
      </c>
      <c r="Q30" s="4">
        <f>SUM(O30-I30)</f>
        <v>45720.380000000005</v>
      </c>
      <c r="S30" s="4"/>
      <c r="U30" s="65"/>
      <c r="X30" s="4"/>
    </row>
    <row r="31" spans="3:24" ht="12.75">
      <c r="C31" t="s">
        <v>17</v>
      </c>
      <c r="G31" s="4"/>
      <c r="I31" s="4">
        <v>0.41</v>
      </c>
      <c r="J31" s="4"/>
      <c r="K31" s="4">
        <v>0</v>
      </c>
      <c r="L31" s="4"/>
      <c r="M31" s="4">
        <f>SUM(K31-I31)</f>
        <v>-0.41</v>
      </c>
      <c r="O31" s="4">
        <v>0</v>
      </c>
      <c r="Q31" s="4">
        <f>SUM(O31-I31)</f>
        <v>-0.41</v>
      </c>
      <c r="S31" s="4"/>
      <c r="U31" s="65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96583</v>
      </c>
      <c r="L32" s="39"/>
      <c r="M32" s="4">
        <f>SUM(K32-I32)</f>
        <v>96583</v>
      </c>
      <c r="N32" s="42"/>
      <c r="O32" s="39">
        <v>0</v>
      </c>
      <c r="P32" s="42"/>
      <c r="Q32" s="4">
        <f>SUM(O32-I32)</f>
        <v>0</v>
      </c>
      <c r="S32" s="4"/>
      <c r="U32" s="65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U33" s="65"/>
      <c r="X33" s="4"/>
    </row>
    <row r="34" spans="3:24" ht="12.75">
      <c r="C34" s="3" t="s">
        <v>15</v>
      </c>
      <c r="G34" s="5"/>
      <c r="I34" s="5">
        <f>SUM(I23:I32)</f>
        <v>1272110.8399999999</v>
      </c>
      <c r="J34" s="5"/>
      <c r="K34" s="5">
        <f>SUM(K23:K32)</f>
        <v>1276211.1099999999</v>
      </c>
      <c r="L34" s="5"/>
      <c r="M34" s="5">
        <f>SUM(M23:M32)</f>
        <v>4100.270000000077</v>
      </c>
      <c r="N34" s="4"/>
      <c r="O34" s="5">
        <f>SUM(O23:O32)</f>
        <v>1356092.3499999999</v>
      </c>
      <c r="Q34" s="5">
        <f>SUM(Q23:Q32)</f>
        <v>83981.51000000011</v>
      </c>
      <c r="R34" s="4"/>
      <c r="S34" s="5"/>
      <c r="T34" s="3"/>
      <c r="U34" s="5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T35" s="3"/>
      <c r="U35" s="65"/>
      <c r="V35" s="5">
        <f>88088+22931.73+41000-237790.53-41000-22844.36</f>
        <v>-149615.16000000003</v>
      </c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U36" s="65"/>
      <c r="X36" s="4"/>
    </row>
    <row r="37" spans="3:24" ht="12.75">
      <c r="C37" s="29" t="s">
        <v>28</v>
      </c>
      <c r="G37" s="4"/>
      <c r="I37" s="4">
        <v>133136</v>
      </c>
      <c r="J37" s="4"/>
      <c r="K37" s="4">
        <v>151043</v>
      </c>
      <c r="L37" s="4"/>
      <c r="M37" s="4">
        <f>SUM(K37-I37)</f>
        <v>17907</v>
      </c>
      <c r="O37" s="4">
        <v>143617</v>
      </c>
      <c r="Q37" s="4">
        <f>SUM(O37-I37)</f>
        <v>10481</v>
      </c>
      <c r="S37" s="4"/>
      <c r="U37" s="65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U38" s="65"/>
      <c r="V38" s="4">
        <f>860980.59-237486.54-68321.5</f>
        <v>555172.5499999999</v>
      </c>
      <c r="W38" s="12"/>
      <c r="X38" s="4"/>
    </row>
    <row r="39" spans="3:24" s="8" customFormat="1" ht="12.75">
      <c r="C39" s="9" t="s">
        <v>16</v>
      </c>
      <c r="G39" s="10"/>
      <c r="I39" s="10">
        <v>133136</v>
      </c>
      <c r="J39" s="10"/>
      <c r="K39" s="10">
        <v>151043</v>
      </c>
      <c r="L39" s="10"/>
      <c r="M39" s="4">
        <f>SUM(K39-I39)</f>
        <v>17907</v>
      </c>
      <c r="N39" s="10"/>
      <c r="O39" s="10">
        <f>SUM(O37:O37)</f>
        <v>143617</v>
      </c>
      <c r="Q39" s="4">
        <f>SUM(O39-I39)</f>
        <v>10481</v>
      </c>
      <c r="U39" s="10"/>
      <c r="V39" s="10">
        <f>22932-22844</f>
        <v>88</v>
      </c>
      <c r="W39" s="35"/>
      <c r="X39" s="9">
        <f>16991-17079</f>
        <v>-88</v>
      </c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U40" s="66"/>
      <c r="X40" s="10"/>
    </row>
    <row r="41" spans="2:24" s="58" customFormat="1" ht="12.75">
      <c r="B41" s="63" t="s">
        <v>36</v>
      </c>
      <c r="G41" s="61"/>
      <c r="I41" s="61">
        <f>I34+I39</f>
        <v>1405246.8399999999</v>
      </c>
      <c r="J41" s="61"/>
      <c r="K41" s="61">
        <f>K34+K39</f>
        <v>1427254.1099999999</v>
      </c>
      <c r="L41" s="61"/>
      <c r="M41" s="61">
        <f>M34+M39</f>
        <v>22007.270000000077</v>
      </c>
      <c r="O41" s="61">
        <f>O34+O39</f>
        <v>1499709.3499999999</v>
      </c>
      <c r="Q41" s="61">
        <f>Q34+Q39</f>
        <v>94462.51000000011</v>
      </c>
      <c r="R41" s="64"/>
      <c r="S41" s="61"/>
      <c r="U41" s="61"/>
      <c r="X41" s="61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21" s="58" customFormat="1" ht="12.75">
      <c r="A43" s="63" t="s">
        <v>22</v>
      </c>
      <c r="G43" s="62"/>
      <c r="I43" s="62">
        <f>I19-I41</f>
        <v>99995.37000000034</v>
      </c>
      <c r="J43" s="62"/>
      <c r="K43" s="62">
        <f>K19-K41</f>
        <v>28952.02000000025</v>
      </c>
      <c r="L43" s="62"/>
      <c r="M43" s="62">
        <f>SUM(M41+M19)</f>
        <v>71043.34999999998</v>
      </c>
      <c r="O43" s="62">
        <f>O19-O41</f>
        <v>-79582.12999999989</v>
      </c>
      <c r="Q43" s="62">
        <f>Q19+Q41</f>
        <v>179577.50000000035</v>
      </c>
      <c r="S43" s="62"/>
      <c r="U43" s="62"/>
    </row>
    <row r="44" spans="7:12" ht="12.75">
      <c r="G44" s="4"/>
      <c r="I44" s="4"/>
      <c r="J44" s="4"/>
      <c r="K44" s="4"/>
      <c r="L44" s="4"/>
    </row>
    <row r="45" spans="7:12" ht="12.75">
      <c r="G45" s="4"/>
      <c r="I45" s="4"/>
      <c r="J45" s="4"/>
      <c r="K45" s="4"/>
      <c r="L45" s="4"/>
    </row>
    <row r="46" spans="7:12" ht="12.75">
      <c r="G46" s="4"/>
      <c r="I46" s="4"/>
      <c r="J46" s="4"/>
      <c r="K46" s="67"/>
      <c r="L46" s="4"/>
    </row>
    <row r="47" spans="1:12" ht="12.75">
      <c r="A47" s="3"/>
      <c r="G47" s="4"/>
      <c r="I47" s="4"/>
      <c r="J47" s="4"/>
      <c r="K47" s="4"/>
      <c r="L47" s="4"/>
    </row>
    <row r="48" spans="1:12" ht="12.75">
      <c r="A48" s="3"/>
      <c r="G48" s="4"/>
      <c r="I48" s="4"/>
      <c r="J48" s="4"/>
      <c r="K48" s="4"/>
      <c r="L48" s="4"/>
    </row>
    <row r="49" spans="1:15" ht="12.75">
      <c r="A49" s="3"/>
      <c r="B49" s="3"/>
      <c r="G49" s="4"/>
      <c r="I49" s="4"/>
      <c r="J49" s="4"/>
      <c r="K49" s="4"/>
      <c r="L49" s="4"/>
      <c r="O49" s="5"/>
    </row>
    <row r="50" spans="7:12" ht="12.75">
      <c r="G50" s="4"/>
      <c r="I50" s="4"/>
      <c r="J50" s="4"/>
      <c r="K50" s="4"/>
      <c r="L50" s="4"/>
    </row>
    <row r="51" spans="7:12" ht="12.75">
      <c r="G51" s="4"/>
      <c r="I51" s="4"/>
      <c r="J51" s="4"/>
      <c r="K51" s="4"/>
      <c r="L51" s="4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 t="s">
        <v>18</v>
      </c>
      <c r="K56" s="4"/>
      <c r="L56" s="4"/>
    </row>
    <row r="57" spans="7:12" ht="12.75">
      <c r="G57" s="4"/>
      <c r="I57" s="4"/>
      <c r="J57" s="4"/>
      <c r="K57" s="4"/>
      <c r="L57" s="4"/>
    </row>
    <row r="58" spans="7:12" ht="12.75">
      <c r="G58" s="4"/>
      <c r="I58" s="4"/>
      <c r="J58" s="4"/>
      <c r="K58" s="4"/>
      <c r="L58" s="4"/>
    </row>
    <row r="59" spans="4:12" ht="12.75">
      <c r="D59" s="29"/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7:12" ht="12.75">
      <c r="G62" s="4"/>
      <c r="I62" s="4"/>
      <c r="J62" s="4"/>
      <c r="K62" s="4"/>
      <c r="L62" s="4"/>
    </row>
  </sheetData>
  <sheetProtection/>
  <printOptions/>
  <pageMargins left="0.7" right="0.7" top="0.75" bottom="0.75" header="0.3" footer="0.3"/>
  <pageSetup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JGP Sales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G Petro</dc:creator>
  <cp:keywords/>
  <dc:description/>
  <cp:lastModifiedBy>Cheryl Ryan</cp:lastModifiedBy>
  <cp:lastPrinted>2019-01-15T19:32:31Z</cp:lastPrinted>
  <dcterms:created xsi:type="dcterms:W3CDTF">2007-09-18T18:03:12Z</dcterms:created>
  <dcterms:modified xsi:type="dcterms:W3CDTF">2019-02-11T17:34:10Z</dcterms:modified>
  <cp:category/>
  <cp:version/>
  <cp:contentType/>
  <cp:contentStatus/>
</cp:coreProperties>
</file>