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20" activeTab="28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  <sheet name="06302019" sheetId="17" r:id="rId17"/>
    <sheet name="11302019" sheetId="18" r:id="rId18"/>
    <sheet name="04302020" sheetId="19" r:id="rId19"/>
    <sheet name="06302020" sheetId="20" r:id="rId20"/>
    <sheet name="10312020" sheetId="21" r:id="rId21"/>
    <sheet name="02282021" sheetId="22" r:id="rId22"/>
    <sheet name="04302021" sheetId="23" r:id="rId23"/>
    <sheet name="06302021" sheetId="24" r:id="rId24"/>
    <sheet name="08312021" sheetId="25" r:id="rId25"/>
    <sheet name="10312021" sheetId="26" r:id="rId26"/>
    <sheet name="12312021" sheetId="27" r:id="rId27"/>
    <sheet name="02282022" sheetId="28" r:id="rId28"/>
    <sheet name="04302022" sheetId="29" r:id="rId29"/>
  </sheets>
  <definedNames/>
  <calcPr fullCalcOnLoad="1"/>
</workbook>
</file>

<file path=xl/sharedStrings.xml><?xml version="1.0" encoding="utf-8"?>
<sst xmlns="http://schemas.openxmlformats.org/spreadsheetml/2006/main" count="2087" uniqueCount="134">
  <si>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</si>
  <si>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</si>
  <si>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</si>
  <si>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</si>
  <si>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</si>
  <si>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</si>
  <si>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</si>
  <si>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</si>
  <si>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</si>
  <si>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</si>
  <si>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</si>
  <si>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</si>
  <si>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</si>
  <si>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</si>
  <si>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</si>
  <si>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</si>
  <si>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</si>
  <si>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</si>
  <si>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</si>
  <si>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</si>
  <si>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</si>
  <si>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</si>
  <si>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</si>
  <si>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</si>
  <si>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</si>
  <si>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</si>
  <si>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</si>
  <si>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</si>
  <si>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</si>
  <si>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</si>
  <si>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</si>
  <si>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</si>
  <si>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</si>
  <si>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</si>
  <si>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</si>
  <si>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</si>
  <si>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</si>
  <si>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</si>
  <si>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</si>
  <si>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</si>
  <si>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</si>
  <si>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</si>
  <si>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</si>
  <si>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</si>
  <si>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</si>
  <si>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</si>
  <si>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</si>
  <si>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</si>
  <si>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</si>
  <si>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</si>
  <si>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</si>
  <si>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</si>
  <si>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</si>
  <si>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</si>
  <si>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</si>
  <si>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</si>
  <si>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</si>
  <si>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</si>
  <si>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</si>
  <si>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</si>
  <si>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</si>
  <si>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</si>
  <si>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</si>
  <si>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</si>
  <si>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</si>
  <si>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</si>
  <si>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</si>
  <si>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</si>
  <si>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</si>
  <si>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</si>
  <si>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</si>
  <si>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</si>
  <si>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</si>
  <si>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</si>
  <si>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</si>
  <si>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</si>
  <si>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</si>
  <si>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</si>
  <si>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7/1/2018-4/30/2019</t>
  </si>
  <si>
    <t>7/1/2017-4/30/2018</t>
  </si>
  <si>
    <t>7/1/2018-6/30/2019</t>
  </si>
  <si>
    <t>7/1/2017-6/30/2018</t>
  </si>
  <si>
    <t>Church Pew Refurbishment</t>
  </si>
  <si>
    <t>Education Center Renovations</t>
  </si>
  <si>
    <t>School Electrical</t>
  </si>
  <si>
    <t>TBD</t>
  </si>
  <si>
    <t>DH/Kitchen Electric</t>
  </si>
  <si>
    <t>DH HVAC</t>
  </si>
  <si>
    <t>Classroom HVAC</t>
  </si>
  <si>
    <t>Kitchen</t>
  </si>
  <si>
    <t>Parking Lot Expansion</t>
  </si>
  <si>
    <t>Church Hymnals</t>
  </si>
  <si>
    <t>TV's &amp; Cameras In Narthex</t>
  </si>
  <si>
    <t>LED  Lighting Completion</t>
  </si>
  <si>
    <t>Parish Library Flooring</t>
  </si>
  <si>
    <t>Drexel Hall Stage Flooring</t>
  </si>
  <si>
    <t>Church Ceiling Repair/Paint</t>
  </si>
  <si>
    <t>Rectory 1st Floor Bathroom</t>
  </si>
  <si>
    <t>Church Sanctuary Railings</t>
  </si>
  <si>
    <t>Parking Lot Entrance Repair</t>
  </si>
  <si>
    <t>Parish Center Painting</t>
  </si>
  <si>
    <t>Proposed Projects, Estimated Costs, Included In Operating 2019-2020 Budget</t>
  </si>
  <si>
    <t>7/1/2019-11/30/2019</t>
  </si>
  <si>
    <t>7/1/2018-11/30/2018</t>
  </si>
  <si>
    <t>7/1/2019-4/30/2020</t>
  </si>
  <si>
    <t>7/1/2019-6/30/2020</t>
  </si>
  <si>
    <r>
      <t xml:space="preserve">   </t>
    </r>
    <r>
      <rPr>
        <sz val="10"/>
        <rFont val="Arial"/>
        <family val="2"/>
      </rPr>
      <t>Payroll taxes and benefits</t>
    </r>
  </si>
  <si>
    <t>Parish Center Renovations</t>
  </si>
  <si>
    <t>Agreed Upon Procdures Audit</t>
  </si>
  <si>
    <t>Proposed Projects, Estimated Costs, Included In Operating 2020-2021 Budget</t>
  </si>
  <si>
    <t>7/1/2020-12/31/2020</t>
  </si>
  <si>
    <t>7/1/2019-12/31/2019</t>
  </si>
  <si>
    <t>7/1/2020-2/28/2021</t>
  </si>
  <si>
    <t>7/1/2019-2/29/2020</t>
  </si>
  <si>
    <t>7/1/2020-4/30/2021</t>
  </si>
  <si>
    <t>7/1/2020-6/30/2021</t>
  </si>
  <si>
    <t>7/1/2021-8/31/2021</t>
  </si>
  <si>
    <t>7/1/2020-8/31/2020</t>
  </si>
  <si>
    <t>Church Bathroom Renovations</t>
  </si>
  <si>
    <t>Rectory Bathroom Renovations</t>
  </si>
  <si>
    <t>Security Camera Completion</t>
  </si>
  <si>
    <t>Rectory Appliance Replacements</t>
  </si>
  <si>
    <t>Parking Lot LED Completion</t>
  </si>
  <si>
    <t>Pavment/Walkway Repairs</t>
  </si>
  <si>
    <t>Church Miscellaneous Maintenance</t>
  </si>
  <si>
    <t>Education Center Miscellaneous Maintenance</t>
  </si>
  <si>
    <t>Rectory Miscellaneous Maintenance</t>
  </si>
  <si>
    <t>Parish Center Miscellaneous Maintenance</t>
  </si>
  <si>
    <t>Proposed Projects, Estimated Costs, Included In Operating 2021-2022 Budget</t>
  </si>
  <si>
    <t>7/1/2021-10/31/2021</t>
  </si>
  <si>
    <t>7/1/2020-10/31/2020</t>
  </si>
  <si>
    <t>7/1/2021-12/31/2021</t>
  </si>
  <si>
    <t>7/1/2021-2/28/2022</t>
  </si>
  <si>
    <t>7/1/2021-4/30/2022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</si>
</sst>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43585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909302.56+244113.83+18300</f>
        <v>1171716.3900000001</v>
      </c>
      <c r="J8" s="4"/>
      <c r="K8" s="4">
        <f>932509.68+250205.87+15020</f>
        <v>1197735.55</v>
      </c>
      <c r="L8" s="4"/>
      <c r="M8" s="4">
        <f aca="true" t="shared" si="0" ref="M8:M14">SUM(I8-K8)</f>
        <v>-26019.159999999916</v>
      </c>
      <c r="O8" s="4">
        <f>973451.9+243678.65+15610.9</f>
        <v>1232741.45</v>
      </c>
      <c r="Q8" s="4">
        <f aca="true" t="shared" si="1" ref="Q8:Q14">SUM(I8-O8)</f>
        <v>-61025.05999999982</v>
      </c>
      <c r="S8" s="4"/>
      <c r="U8" s="65"/>
      <c r="X8" s="4"/>
    </row>
    <row r="9" spans="4:24" ht="12.75">
      <c r="D9" t="s">
        <v>2</v>
      </c>
      <c r="G9" s="4"/>
      <c r="I9" s="4">
        <v>65016.44</v>
      </c>
      <c r="J9" s="4"/>
      <c r="K9" s="4">
        <v>-5762.4</v>
      </c>
      <c r="L9" s="4"/>
      <c r="M9" s="4">
        <f t="shared" si="0"/>
        <v>70778.84</v>
      </c>
      <c r="O9" s="4">
        <v>39774.37</v>
      </c>
      <c r="Q9" s="4">
        <f t="shared" si="1"/>
        <v>25242.07</v>
      </c>
      <c r="S9" s="4"/>
      <c r="U9" s="65"/>
      <c r="X9" s="4"/>
    </row>
    <row r="10" spans="4:24" ht="12.75">
      <c r="D10" t="s">
        <v>3</v>
      </c>
      <c r="G10" s="4"/>
      <c r="I10" s="4">
        <v>76105.6</v>
      </c>
      <c r="J10" s="4"/>
      <c r="K10" s="4">
        <v>84075.74</v>
      </c>
      <c r="L10" s="4"/>
      <c r="M10" s="4">
        <f t="shared" si="0"/>
        <v>-7970.139999999999</v>
      </c>
      <c r="O10" s="4">
        <v>78529.87</v>
      </c>
      <c r="Q10" s="4">
        <f t="shared" si="1"/>
        <v>-2424.2699999999895</v>
      </c>
      <c r="S10" s="4"/>
      <c r="U10" s="65"/>
      <c r="X10" s="4"/>
    </row>
    <row r="11" spans="4:24" ht="12.75">
      <c r="D11" t="s">
        <v>31</v>
      </c>
      <c r="G11" s="4"/>
      <c r="I11" s="4">
        <f>7291.29+49108</f>
        <v>56399.29</v>
      </c>
      <c r="J11" s="4"/>
      <c r="K11" s="4">
        <f>2550.88+54355</f>
        <v>56905.88</v>
      </c>
      <c r="L11" s="4"/>
      <c r="M11" s="4">
        <f t="shared" si="0"/>
        <v>-506.5899999999965</v>
      </c>
      <c r="O11" s="4">
        <f>2856.92+48350.89</f>
        <v>51207.81</v>
      </c>
      <c r="Q11" s="4">
        <f t="shared" si="1"/>
        <v>5191.480000000003</v>
      </c>
      <c r="S11" s="4"/>
      <c r="U11" s="65"/>
      <c r="X11" s="4"/>
    </row>
    <row r="12" spans="4:24" ht="12.75">
      <c r="D12" t="s">
        <v>30</v>
      </c>
      <c r="G12" s="4"/>
      <c r="I12" s="4">
        <v>9283.91</v>
      </c>
      <c r="J12" s="4"/>
      <c r="K12" s="4">
        <v>4352.12</v>
      </c>
      <c r="L12" s="4"/>
      <c r="M12" s="4">
        <f t="shared" si="0"/>
        <v>4931.79</v>
      </c>
      <c r="O12" s="4">
        <v>4265.93</v>
      </c>
      <c r="Q12" s="4">
        <f t="shared" si="1"/>
        <v>5017.98</v>
      </c>
      <c r="S12" s="4"/>
      <c r="U12" s="65"/>
      <c r="X12" s="4"/>
    </row>
    <row r="13" spans="4:24" ht="12.75">
      <c r="D13" t="s">
        <v>29</v>
      </c>
      <c r="G13" s="4"/>
      <c r="I13" s="4">
        <f>949.6+8186.04+26000</f>
        <v>35135.64</v>
      </c>
      <c r="J13" s="4"/>
      <c r="K13" s="4">
        <f>10000+7911.06</f>
        <v>17911.06</v>
      </c>
      <c r="L13" s="4"/>
      <c r="M13" s="4">
        <f t="shared" si="0"/>
        <v>17224.579999999998</v>
      </c>
      <c r="O13" s="4">
        <v>7899.79</v>
      </c>
      <c r="Q13" s="4">
        <f t="shared" si="1"/>
        <v>27235.85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1413657.27</v>
      </c>
      <c r="J16" s="5"/>
      <c r="K16" s="5">
        <f>SUM(K8:K14)</f>
        <v>1355217.9500000002</v>
      </c>
      <c r="L16" s="5"/>
      <c r="M16" s="5">
        <f>SUM(M8:M14)</f>
        <v>58439.32000000008</v>
      </c>
      <c r="N16" s="5"/>
      <c r="O16" s="5">
        <f>SUM(O8:O14)</f>
        <v>1414419.22</v>
      </c>
      <c r="Q16" s="5">
        <f>SUM(Q8:Q14)</f>
        <v>-761.9499999998116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1413657.27</v>
      </c>
      <c r="J19" s="61"/>
      <c r="K19" s="61">
        <f>K16</f>
        <v>1355217.9500000002</v>
      </c>
      <c r="L19" s="61"/>
      <c r="M19" s="61">
        <f>M16</f>
        <v>58439.32000000008</v>
      </c>
      <c r="O19" s="61">
        <f>O16</f>
        <v>1414419.22</v>
      </c>
      <c r="Q19" s="62">
        <f>SUM(I19-O19)</f>
        <v>-761.9499999999534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152333.3</v>
      </c>
      <c r="J23" s="4"/>
      <c r="K23" s="4">
        <v>150533.3</v>
      </c>
      <c r="L23" s="4"/>
      <c r="M23" s="4">
        <f aca="true" t="shared" si="2" ref="M23:M29">SUM(K23-I23)</f>
        <v>-1800</v>
      </c>
      <c r="O23" s="4">
        <v>154306.67</v>
      </c>
      <c r="Q23" s="4">
        <f aca="true" t="shared" si="3" ref="Q23:Q29">SUM(O23-I23)</f>
        <v>1973.3700000000244</v>
      </c>
      <c r="S23" s="4"/>
      <c r="U23" s="65"/>
      <c r="X23" s="4"/>
    </row>
    <row r="24" spans="3:24" ht="12.75">
      <c r="C24" t="s">
        <v>9</v>
      </c>
      <c r="G24" s="4"/>
      <c r="I24" s="4">
        <f>55505.67+369616.03+2013.3+36443.1+61331.14</f>
        <v>524909.24</v>
      </c>
      <c r="J24" s="4"/>
      <c r="K24" s="4">
        <f>59344.6+375691.62+34508.4+45918.53</f>
        <v>515463.15</v>
      </c>
      <c r="L24" s="4"/>
      <c r="M24" s="4">
        <f t="shared" si="2"/>
        <v>-9446.089999999967</v>
      </c>
      <c r="O24" s="4">
        <f>108007.64+380891.77+37959.24+51709.6</f>
        <v>578568.25</v>
      </c>
      <c r="Q24" s="4">
        <f t="shared" si="3"/>
        <v>53659.01000000001</v>
      </c>
      <c r="S24" s="4"/>
      <c r="U24" s="65"/>
      <c r="X24" s="4"/>
    </row>
    <row r="25" spans="3:24" ht="12.75">
      <c r="C25" s="3" t="s">
        <v>12</v>
      </c>
      <c r="G25" s="4"/>
      <c r="I25" s="4">
        <v>122726.86</v>
      </c>
      <c r="J25" s="4"/>
      <c r="K25" s="4">
        <v>131617.65</v>
      </c>
      <c r="L25" s="4"/>
      <c r="M25" s="4">
        <f t="shared" si="2"/>
        <v>8890.789999999994</v>
      </c>
      <c r="O25" s="4">
        <v>130536.25</v>
      </c>
      <c r="Q25" s="4">
        <f t="shared" si="3"/>
        <v>7809.389999999999</v>
      </c>
      <c r="S25" s="4"/>
      <c r="U25" s="65"/>
      <c r="X25" s="4"/>
    </row>
    <row r="26" spans="3:24" ht="12.75">
      <c r="C26" t="s">
        <v>33</v>
      </c>
      <c r="G26" s="4"/>
      <c r="I26" s="4">
        <f>29724.76+28752.86+6616.76+15811.07</f>
        <v>80905.45</v>
      </c>
      <c r="J26" s="4" t="s">
        <v>18</v>
      </c>
      <c r="K26" s="4">
        <f>27678.79+28431.08+8482.19+24900.85</f>
        <v>89492.91</v>
      </c>
      <c r="L26" s="4"/>
      <c r="M26" s="4">
        <f t="shared" si="2"/>
        <v>8587.460000000006</v>
      </c>
      <c r="O26" s="4">
        <f>25987.46+32237.78+7920.97+27328.87</f>
        <v>93475.07999999999</v>
      </c>
      <c r="Q26" s="4">
        <f t="shared" si="3"/>
        <v>12569.62999999999</v>
      </c>
      <c r="S26" s="4"/>
      <c r="U26" s="65"/>
      <c r="X26" s="4"/>
    </row>
    <row r="27" spans="3:24" ht="12.75">
      <c r="C27" t="s">
        <v>10</v>
      </c>
      <c r="G27" s="4"/>
      <c r="I27" s="4">
        <v>60945.92</v>
      </c>
      <c r="J27" s="4"/>
      <c r="K27" s="4">
        <v>73877.79</v>
      </c>
      <c r="L27" s="4"/>
      <c r="M27" s="4">
        <f t="shared" si="2"/>
        <v>12931.869999999995</v>
      </c>
      <c r="O27" s="4">
        <v>95098.5</v>
      </c>
      <c r="Q27" s="4">
        <f t="shared" si="3"/>
        <v>34152.58</v>
      </c>
      <c r="S27" s="4"/>
      <c r="U27" s="65"/>
      <c r="X27" s="4"/>
    </row>
    <row r="28" spans="3:24" ht="12.75">
      <c r="C28" t="s">
        <v>11</v>
      </c>
      <c r="G28" s="4"/>
      <c r="I28" s="4">
        <v>15288.85</v>
      </c>
      <c r="J28" s="4"/>
      <c r="K28" s="4">
        <v>13571.33</v>
      </c>
      <c r="L28" s="4"/>
      <c r="M28" s="4">
        <f t="shared" si="2"/>
        <v>-1717.5200000000004</v>
      </c>
      <c r="O28" s="4">
        <v>20610.98</v>
      </c>
      <c r="Q28" s="4">
        <f t="shared" si="3"/>
        <v>5322.129999999999</v>
      </c>
      <c r="S28" s="4"/>
      <c r="U28" s="65"/>
      <c r="X28" s="4"/>
    </row>
    <row r="29" spans="3:24" ht="12.75">
      <c r="C29" s="3" t="s">
        <v>40</v>
      </c>
      <c r="G29" s="4"/>
      <c r="I29" s="4">
        <f>82840.34+22897.49+15789.71</f>
        <v>121527.54000000001</v>
      </c>
      <c r="J29" s="4"/>
      <c r="K29" s="4">
        <f>95328.77+5942.57+4711.08</f>
        <v>105982.42</v>
      </c>
      <c r="L29" s="4"/>
      <c r="M29" s="4">
        <f t="shared" si="2"/>
        <v>-15545.12000000001</v>
      </c>
      <c r="O29" s="4">
        <v>169532.84</v>
      </c>
      <c r="Q29" s="4">
        <f t="shared" si="3"/>
        <v>48005.29999999999</v>
      </c>
      <c r="S29" s="4"/>
      <c r="U29" s="65"/>
      <c r="X29" s="4"/>
    </row>
    <row r="30" spans="3:24" ht="12.75">
      <c r="C30" s="47" t="s">
        <v>41</v>
      </c>
      <c r="G30" s="4"/>
      <c r="I30" s="4">
        <f>32326.29+11140.05+28925.61</f>
        <v>72391.95</v>
      </c>
      <c r="J30" s="4"/>
      <c r="K30" s="4">
        <f>25502.18+9728.35+22340.63</f>
        <v>57571.16</v>
      </c>
      <c r="L30" s="4"/>
      <c r="M30" s="4">
        <f>SUM(K30-I30)</f>
        <v>-14820.789999999994</v>
      </c>
      <c r="O30" s="4">
        <v>81448.85</v>
      </c>
      <c r="Q30" s="4">
        <f>SUM(O30-I30)</f>
        <v>9056.900000000009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1151029.1099999999</v>
      </c>
      <c r="J34" s="5"/>
      <c r="K34" s="5">
        <f>SUM(K23:K32)</f>
        <v>1138109.71</v>
      </c>
      <c r="L34" s="5"/>
      <c r="M34" s="5">
        <f>SUM(M23:M32)</f>
        <v>-12919.399999999976</v>
      </c>
      <c r="N34" s="4"/>
      <c r="O34" s="5">
        <f>SUM(O23:O32)</f>
        <v>1323577.4200000002</v>
      </c>
      <c r="Q34" s="5">
        <f>SUM(Q23:Q32)</f>
        <v>172548.31000000006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1283029.1099999999</v>
      </c>
      <c r="J41" s="61"/>
      <c r="K41" s="61">
        <f>K34+K39</f>
        <v>1274884.71</v>
      </c>
      <c r="L41" s="61"/>
      <c r="M41" s="61">
        <f>M34+M39</f>
        <v>-8144.399999999976</v>
      </c>
      <c r="O41" s="61">
        <f>O34+O39</f>
        <v>1457577.4200000002</v>
      </c>
      <c r="Q41" s="61">
        <f>Q34+Q39</f>
        <v>174548.31000000006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130628.16000000015</v>
      </c>
      <c r="J43" s="62"/>
      <c r="K43" s="62">
        <f>K19-K41</f>
        <v>80333.24000000022</v>
      </c>
      <c r="L43" s="62"/>
      <c r="M43" s="62">
        <f>SUM(M41+M19)</f>
        <v>50294.9200000001</v>
      </c>
      <c r="O43" s="62">
        <f>O19-O41</f>
        <v>-43158.200000000186</v>
      </c>
      <c r="Q43" s="62">
        <f>Q19+Q41</f>
        <v>173786.3600000001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43646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80</v>
      </c>
      <c r="J5" s="23"/>
      <c r="K5" s="23" t="s">
        <v>81</v>
      </c>
      <c r="L5" s="23"/>
      <c r="M5" s="26" t="s">
        <v>27</v>
      </c>
      <c r="O5" s="23" t="s">
        <v>80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1083079.47+311330.6+20450</f>
        <v>1414860.0699999998</v>
      </c>
      <c r="J8" s="4"/>
      <c r="K8" s="4">
        <f>1099663.15+328775.47+17120</f>
        <v>1445558.6199999999</v>
      </c>
      <c r="L8" s="4"/>
      <c r="M8" s="4">
        <f aca="true" t="shared" si="0" ref="M8:M14">SUM(I8-K8)</f>
        <v>-30698.550000000047</v>
      </c>
      <c r="O8" s="4">
        <f>1147944.38+296001.32+17778.6</f>
        <v>1461724.3</v>
      </c>
      <c r="Q8" s="4">
        <f aca="true" t="shared" si="1" ref="Q8:Q14">SUM(I8-O8)</f>
        <v>-46864.230000000214</v>
      </c>
      <c r="S8" s="4"/>
      <c r="U8" s="65"/>
      <c r="X8" s="4"/>
    </row>
    <row r="9" spans="4:24" ht="12.75">
      <c r="D9" t="s">
        <v>2</v>
      </c>
      <c r="G9" s="4"/>
      <c r="I9" s="4">
        <v>85752.57</v>
      </c>
      <c r="J9" s="4"/>
      <c r="K9" s="4">
        <v>6670.99</v>
      </c>
      <c r="L9" s="4"/>
      <c r="M9" s="4">
        <f t="shared" si="0"/>
        <v>79081.58</v>
      </c>
      <c r="O9" s="4">
        <v>40962.13</v>
      </c>
      <c r="Q9" s="4">
        <f t="shared" si="1"/>
        <v>44790.44000000001</v>
      </c>
      <c r="S9" s="4"/>
      <c r="U9" s="65"/>
      <c r="X9" s="4"/>
    </row>
    <row r="10" spans="4:24" ht="12.75">
      <c r="D10" t="s">
        <v>3</v>
      </c>
      <c r="G10" s="4"/>
      <c r="I10" s="4">
        <v>79419.75</v>
      </c>
      <c r="J10" s="4"/>
      <c r="K10" s="4">
        <v>86761.64</v>
      </c>
      <c r="L10" s="4"/>
      <c r="M10" s="4">
        <f t="shared" si="0"/>
        <v>-7341.889999999999</v>
      </c>
      <c r="O10" s="4">
        <v>85839</v>
      </c>
      <c r="Q10" s="4">
        <f t="shared" si="1"/>
        <v>-6419.25</v>
      </c>
      <c r="S10" s="4"/>
      <c r="U10" s="65"/>
      <c r="X10" s="4"/>
    </row>
    <row r="11" spans="4:24" ht="12.75">
      <c r="D11" t="s">
        <v>31</v>
      </c>
      <c r="G11" s="4"/>
      <c r="I11" s="4">
        <f>9752.25+59908</f>
        <v>69660.25</v>
      </c>
      <c r="J11" s="4"/>
      <c r="K11" s="4">
        <f>2959.42+65180</f>
        <v>68139.42</v>
      </c>
      <c r="L11" s="4"/>
      <c r="M11" s="4">
        <f t="shared" si="0"/>
        <v>1520.8300000000017</v>
      </c>
      <c r="O11" s="4">
        <f>3314.47+57892.98</f>
        <v>61207.450000000004</v>
      </c>
      <c r="Q11" s="4">
        <f t="shared" si="1"/>
        <v>8452.799999999996</v>
      </c>
      <c r="S11" s="4"/>
      <c r="U11" s="65"/>
      <c r="X11" s="4"/>
    </row>
    <row r="12" spans="4:24" ht="12.75">
      <c r="D12" t="s">
        <v>30</v>
      </c>
      <c r="G12" s="4"/>
      <c r="I12" s="4">
        <v>10069.86</v>
      </c>
      <c r="J12" s="4"/>
      <c r="K12" s="4">
        <v>8433.37</v>
      </c>
      <c r="L12" s="4"/>
      <c r="M12" s="4">
        <f t="shared" si="0"/>
        <v>1636.4899999999998</v>
      </c>
      <c r="O12" s="4">
        <v>8329.02</v>
      </c>
      <c r="Q12" s="4">
        <f t="shared" si="1"/>
        <v>1740.8400000000001</v>
      </c>
      <c r="S12" s="4"/>
      <c r="U12" s="65"/>
      <c r="X12" s="4"/>
    </row>
    <row r="13" spans="4:24" ht="12.75">
      <c r="D13" t="s">
        <v>29</v>
      </c>
      <c r="G13" s="4"/>
      <c r="I13" s="4">
        <f>949.6+34000+41931.39</f>
        <v>76880.98999999999</v>
      </c>
      <c r="J13" s="4"/>
      <c r="K13" s="4">
        <f>10000+22846.52</f>
        <v>32846.520000000004</v>
      </c>
      <c r="L13" s="4"/>
      <c r="M13" s="4">
        <f t="shared" si="0"/>
        <v>44034.46999999999</v>
      </c>
      <c r="O13" s="4">
        <v>20000</v>
      </c>
      <c r="Q13" s="4">
        <f t="shared" si="1"/>
        <v>56880.98999999999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1736643.49</v>
      </c>
      <c r="J16" s="5"/>
      <c r="K16" s="5">
        <f>SUM(K8:K14)</f>
        <v>1648410.5599999998</v>
      </c>
      <c r="L16" s="5"/>
      <c r="M16" s="5">
        <f>SUM(M8:M14)</f>
        <v>88232.92999999993</v>
      </c>
      <c r="N16" s="5"/>
      <c r="O16" s="5">
        <f>SUM(O8:O14)</f>
        <v>1678061.9</v>
      </c>
      <c r="Q16" s="5">
        <f>SUM(Q8:Q14)</f>
        <v>58581.58999999978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1736643.49</v>
      </c>
      <c r="J19" s="61"/>
      <c r="K19" s="61">
        <f>K16</f>
        <v>1648410.5599999998</v>
      </c>
      <c r="L19" s="61"/>
      <c r="M19" s="61">
        <f>M16</f>
        <v>88232.92999999993</v>
      </c>
      <c r="O19" s="61">
        <f>O16</f>
        <v>1678061.9</v>
      </c>
      <c r="Q19" s="62">
        <f>SUM(I19-O19)</f>
        <v>58581.590000000084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182799.96</v>
      </c>
      <c r="J23" s="4"/>
      <c r="K23" s="4">
        <v>180639.96</v>
      </c>
      <c r="L23" s="4"/>
      <c r="M23" s="4">
        <f aca="true" t="shared" si="2" ref="M23:M29">SUM(K23-I23)</f>
        <v>-2160</v>
      </c>
      <c r="O23" s="4">
        <v>185168</v>
      </c>
      <c r="Q23" s="4">
        <f aca="true" t="shared" si="3" ref="Q23:Q29">SUM(O23-I23)</f>
        <v>2368.040000000008</v>
      </c>
      <c r="S23" s="4"/>
      <c r="U23" s="65"/>
      <c r="X23" s="4"/>
    </row>
    <row r="24" spans="3:24" ht="12.75">
      <c r="C24" t="s">
        <v>9</v>
      </c>
      <c r="G24" s="4"/>
      <c r="I24" s="4">
        <f>63574.59+436027.69+2415.96+43731.69+64451.48</f>
        <v>610201.41</v>
      </c>
      <c r="J24" s="4"/>
      <c r="K24" s="4">
        <f>67295.2+441596.94+0+41410.08+58666.13</f>
        <v>608968.35</v>
      </c>
      <c r="L24" s="4"/>
      <c r="M24" s="4">
        <f t="shared" si="2"/>
        <v>-1233.0600000000559</v>
      </c>
      <c r="O24" s="4">
        <f>125389+447756+45551.09+57255.27</f>
        <v>675951.36</v>
      </c>
      <c r="Q24" s="4">
        <f t="shared" si="3"/>
        <v>65749.94999999995</v>
      </c>
      <c r="S24" s="4"/>
      <c r="U24" s="65"/>
      <c r="X24" s="4"/>
    </row>
    <row r="25" spans="3:24" ht="12.75">
      <c r="C25" s="3" t="s">
        <v>12</v>
      </c>
      <c r="G25" s="4"/>
      <c r="I25" s="4">
        <v>147365.13</v>
      </c>
      <c r="J25" s="4"/>
      <c r="K25" s="4">
        <v>157338.11</v>
      </c>
      <c r="L25" s="4"/>
      <c r="M25" s="4">
        <f t="shared" si="2"/>
        <v>9972.979999999981</v>
      </c>
      <c r="O25" s="4">
        <v>156077.44</v>
      </c>
      <c r="Q25" s="4">
        <f t="shared" si="3"/>
        <v>8712.309999999998</v>
      </c>
      <c r="S25" s="4"/>
      <c r="U25" s="65"/>
      <c r="X25" s="4"/>
    </row>
    <row r="26" spans="3:24" ht="12.75">
      <c r="C26" t="s">
        <v>33</v>
      </c>
      <c r="G26" s="4"/>
      <c r="I26" s="4">
        <f>33737.89+35145.08+8674.67+20062.19</f>
        <v>97619.83</v>
      </c>
      <c r="J26" s="4" t="s">
        <v>18</v>
      </c>
      <c r="K26" s="4">
        <f>34650.67+32819.09+11577.06+27271.04</f>
        <v>106317.85999999999</v>
      </c>
      <c r="L26" s="4"/>
      <c r="M26" s="4">
        <f t="shared" si="2"/>
        <v>8698.029999999984</v>
      </c>
      <c r="O26" s="4">
        <f>33479.25+36491.12+9806.35+29767.44</f>
        <v>109544.16</v>
      </c>
      <c r="Q26" s="4">
        <f t="shared" si="3"/>
        <v>11924.330000000002</v>
      </c>
      <c r="S26" s="4"/>
      <c r="U26" s="65"/>
      <c r="X26" s="4"/>
    </row>
    <row r="27" spans="3:24" ht="12.75">
      <c r="C27" t="s">
        <v>10</v>
      </c>
      <c r="G27" s="4"/>
      <c r="I27" s="4">
        <v>74300.43</v>
      </c>
      <c r="J27" s="4"/>
      <c r="K27" s="4">
        <v>84108.21</v>
      </c>
      <c r="L27" s="4"/>
      <c r="M27" s="4">
        <f t="shared" si="2"/>
        <v>9807.780000000013</v>
      </c>
      <c r="O27" s="4">
        <v>105047.27</v>
      </c>
      <c r="Q27" s="4">
        <f t="shared" si="3"/>
        <v>30746.84000000001</v>
      </c>
      <c r="S27" s="4"/>
      <c r="U27" s="65"/>
      <c r="X27" s="4"/>
    </row>
    <row r="28" spans="3:24" ht="12.75">
      <c r="C28" t="s">
        <v>11</v>
      </c>
      <c r="G28" s="4"/>
      <c r="I28" s="4">
        <v>17289.1</v>
      </c>
      <c r="J28" s="4"/>
      <c r="K28" s="4">
        <v>14587.87</v>
      </c>
      <c r="L28" s="4"/>
      <c r="M28" s="4">
        <f t="shared" si="2"/>
        <v>-2701.2299999999977</v>
      </c>
      <c r="O28" s="4">
        <v>21976.01</v>
      </c>
      <c r="Q28" s="4">
        <f t="shared" si="3"/>
        <v>4686.91</v>
      </c>
      <c r="S28" s="4"/>
      <c r="U28" s="65"/>
      <c r="X28" s="4"/>
    </row>
    <row r="29" spans="3:24" ht="12.75">
      <c r="C29" s="3" t="s">
        <v>40</v>
      </c>
      <c r="G29" s="4"/>
      <c r="I29" s="4">
        <f>105898.69+24450.98+17523.3</f>
        <v>147872.97</v>
      </c>
      <c r="J29" s="4"/>
      <c r="K29" s="4">
        <f>89629.75+8081.6+5619.62</f>
        <v>103330.97</v>
      </c>
      <c r="L29" s="4"/>
      <c r="M29" s="4">
        <f t="shared" si="2"/>
        <v>-44542</v>
      </c>
      <c r="O29" s="4">
        <v>185511.37</v>
      </c>
      <c r="Q29" s="4">
        <f t="shared" si="3"/>
        <v>37638.399999999994</v>
      </c>
      <c r="S29" s="4"/>
      <c r="U29" s="65"/>
      <c r="X29" s="4"/>
    </row>
    <row r="30" spans="3:24" ht="12.75">
      <c r="C30" s="47" t="s">
        <v>41</v>
      </c>
      <c r="G30" s="4"/>
      <c r="I30" s="4">
        <f>35906.47+12494.94+32249.35</f>
        <v>80650.76000000001</v>
      </c>
      <c r="J30" s="4"/>
      <c r="K30" s="4">
        <f>27986.51+11216.16+23900.91</f>
        <v>63103.58</v>
      </c>
      <c r="L30" s="4"/>
      <c r="M30" s="4">
        <f>SUM(K30-I30)</f>
        <v>-17547.180000000008</v>
      </c>
      <c r="O30" s="4">
        <v>86783.04</v>
      </c>
      <c r="Q30" s="4">
        <f>SUM(O30-I30)</f>
        <v>6132.279999999984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1358099.59</v>
      </c>
      <c r="J34" s="5"/>
      <c r="K34" s="5">
        <f>SUM(K23:K32)</f>
        <v>1318394.91</v>
      </c>
      <c r="L34" s="5"/>
      <c r="M34" s="5">
        <f>SUM(M23:M32)</f>
        <v>-39704.68000000008</v>
      </c>
      <c r="N34" s="4"/>
      <c r="O34" s="5">
        <f>SUM(O23:O32)</f>
        <v>1526058.65</v>
      </c>
      <c r="Q34" s="5">
        <f>SUM(Q23:Q32)</f>
        <v>167959.05999999994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1490099.59</v>
      </c>
      <c r="J41" s="61"/>
      <c r="K41" s="61">
        <f>K34+K39</f>
        <v>1455169.91</v>
      </c>
      <c r="L41" s="61"/>
      <c r="M41" s="61">
        <f>M34+M39</f>
        <v>-34929.68000000008</v>
      </c>
      <c r="O41" s="61">
        <f>O34+O39</f>
        <v>1660058.65</v>
      </c>
      <c r="Q41" s="61">
        <f>Q34+Q39</f>
        <v>169959.05999999994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246543.8999999999</v>
      </c>
      <c r="J43" s="62"/>
      <c r="K43" s="62">
        <f>K19-K41</f>
        <v>193240.6499999999</v>
      </c>
      <c r="L43" s="62"/>
      <c r="M43" s="62">
        <f>SUM(M41+M19)</f>
        <v>53303.249999999854</v>
      </c>
      <c r="O43" s="62">
        <f>O19-O41</f>
        <v>18003.25</v>
      </c>
      <c r="Q43" s="62">
        <f>Q19+Q41</f>
        <v>228540.65000000002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f>228757.89+1777.5</f>
        <v>230535.39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3">
      <selection activeCell="O30" sqref="O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43799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102</v>
      </c>
      <c r="J5" s="23"/>
      <c r="K5" s="23" t="s">
        <v>103</v>
      </c>
      <c r="L5" s="23"/>
      <c r="M5" s="26" t="s">
        <v>27</v>
      </c>
      <c r="O5" s="23" t="s">
        <v>102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441280.63+63857.64+10850</f>
        <v>515988.27</v>
      </c>
      <c r="J8" s="4"/>
      <c r="K8" s="4">
        <f>457584.86+55553.63+8250</f>
        <v>521388.49</v>
      </c>
      <c r="L8" s="4"/>
      <c r="M8" s="4">
        <f aca="true" t="shared" si="0" ref="M8:M14">SUM(I8-K8)</f>
        <v>-5400.219999999972</v>
      </c>
      <c r="O8" s="4">
        <f>462987.68+50853.73+9300.37</f>
        <v>523141.77999999997</v>
      </c>
      <c r="Q8" s="4">
        <f aca="true" t="shared" si="1" ref="Q8:Q14">SUM(I8-O8)</f>
        <v>-7153.509999999951</v>
      </c>
      <c r="S8" s="4"/>
      <c r="U8" s="65"/>
      <c r="X8" s="4"/>
    </row>
    <row r="9" spans="4:24" ht="12.75">
      <c r="D9" t="s">
        <v>2</v>
      </c>
      <c r="G9" s="4"/>
      <c r="I9" s="4">
        <v>11330.13</v>
      </c>
      <c r="J9" s="4"/>
      <c r="K9" s="4">
        <v>34323.71</v>
      </c>
      <c r="L9" s="4"/>
      <c r="M9" s="4">
        <f t="shared" si="0"/>
        <v>-22993.58</v>
      </c>
      <c r="O9" s="4">
        <v>36270.96</v>
      </c>
      <c r="Q9" s="4">
        <f t="shared" si="1"/>
        <v>-24940.83</v>
      </c>
      <c r="S9" s="4"/>
      <c r="U9" s="65"/>
      <c r="X9" s="4"/>
    </row>
    <row r="10" spans="4:24" ht="12.75">
      <c r="D10" t="s">
        <v>3</v>
      </c>
      <c r="G10" s="4"/>
      <c r="I10" s="4">
        <v>60532.15</v>
      </c>
      <c r="J10" s="4"/>
      <c r="K10" s="4">
        <v>63451.79</v>
      </c>
      <c r="L10" s="4"/>
      <c r="M10" s="4">
        <f t="shared" si="0"/>
        <v>-2919.6399999999994</v>
      </c>
      <c r="O10" s="4">
        <v>79738.83</v>
      </c>
      <c r="Q10" s="4">
        <f t="shared" si="1"/>
        <v>-19206.68</v>
      </c>
      <c r="S10" s="4"/>
      <c r="U10" s="65"/>
      <c r="X10" s="4"/>
    </row>
    <row r="11" spans="4:24" ht="12.75">
      <c r="D11" t="s">
        <v>31</v>
      </c>
      <c r="G11" s="4"/>
      <c r="I11" s="4">
        <f>7216.54+23652</f>
        <v>30868.54</v>
      </c>
      <c r="J11" s="4"/>
      <c r="K11" s="4">
        <f>4100.51+23445</f>
        <v>27545.510000000002</v>
      </c>
      <c r="L11" s="4"/>
      <c r="M11" s="4">
        <f t="shared" si="0"/>
        <v>3323.029999999999</v>
      </c>
      <c r="O11" s="4">
        <f>2819.95+23516.95</f>
        <v>26336.9</v>
      </c>
      <c r="Q11" s="4">
        <f t="shared" si="1"/>
        <v>4531.639999999999</v>
      </c>
      <c r="S11" s="4"/>
      <c r="U11" s="65"/>
      <c r="X11" s="4"/>
    </row>
    <row r="12" spans="4:24" ht="12.75">
      <c r="D12" t="s">
        <v>30</v>
      </c>
      <c r="G12" s="4"/>
      <c r="I12" s="4">
        <v>1825.86</v>
      </c>
      <c r="J12" s="4"/>
      <c r="K12" s="4">
        <v>299.5</v>
      </c>
      <c r="L12" s="4"/>
      <c r="M12" s="4">
        <f t="shared" si="0"/>
        <v>1526.36</v>
      </c>
      <c r="O12" s="4">
        <v>111.37</v>
      </c>
      <c r="Q12" s="4">
        <f t="shared" si="1"/>
        <v>1714.4899999999998</v>
      </c>
      <c r="S12" s="4"/>
      <c r="U12" s="65"/>
      <c r="X12" s="4"/>
    </row>
    <row r="13" spans="4:24" ht="12.75">
      <c r="D13" t="s">
        <v>29</v>
      </c>
      <c r="G13" s="4"/>
      <c r="I13" s="4">
        <v>22940.43</v>
      </c>
      <c r="J13" s="4"/>
      <c r="K13" s="4">
        <f>949.6+2733.43</f>
        <v>3683.0299999999997</v>
      </c>
      <c r="L13" s="4"/>
      <c r="M13" s="4">
        <f t="shared" si="0"/>
        <v>19257.4</v>
      </c>
      <c r="O13" s="4">
        <v>9670.05</v>
      </c>
      <c r="Q13" s="4">
        <f t="shared" si="1"/>
        <v>13270.380000000001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643485.3800000001</v>
      </c>
      <c r="J16" s="5"/>
      <c r="K16" s="5">
        <f>SUM(K8:K14)</f>
        <v>650692.03</v>
      </c>
      <c r="L16" s="5"/>
      <c r="M16" s="5">
        <f>SUM(M8:M14)</f>
        <v>-7206.649999999972</v>
      </c>
      <c r="N16" s="5"/>
      <c r="O16" s="5">
        <f>SUM(O8:O14)</f>
        <v>675269.89</v>
      </c>
      <c r="Q16" s="5">
        <f>SUM(Q8:Q14)</f>
        <v>-31784.509999999955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643485.3800000001</v>
      </c>
      <c r="J19" s="61"/>
      <c r="K19" s="61">
        <f>K16</f>
        <v>650692.03</v>
      </c>
      <c r="L19" s="61"/>
      <c r="M19" s="61">
        <f>M16</f>
        <v>-7206.649999999972</v>
      </c>
      <c r="O19" s="61">
        <f>O16</f>
        <v>675269.89</v>
      </c>
      <c r="Q19" s="62">
        <f>SUM(I19-O19)</f>
        <v>-31784.509999999893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76708.15</v>
      </c>
      <c r="J23" s="4"/>
      <c r="K23" s="4">
        <v>76166.65</v>
      </c>
      <c r="L23" s="4"/>
      <c r="M23" s="4">
        <f aca="true" t="shared" si="2" ref="M23:M29">SUM(K23-I23)</f>
        <v>-541.5</v>
      </c>
      <c r="O23" s="4">
        <v>77261.67</v>
      </c>
      <c r="Q23" s="4">
        <f aca="true" t="shared" si="3" ref="Q23:Q29">SUM(O23-I23)</f>
        <v>553.5200000000041</v>
      </c>
      <c r="S23" s="4"/>
      <c r="U23" s="65"/>
      <c r="X23" s="4"/>
    </row>
    <row r="24" spans="3:24" ht="12.75">
      <c r="C24" t="s">
        <v>9</v>
      </c>
      <c r="G24" s="4"/>
      <c r="I24" s="4">
        <f>25186.5+183670.29+1006.65+22979.6+28100.96</f>
        <v>260944</v>
      </c>
      <c r="J24" s="4"/>
      <c r="K24" s="4">
        <f>23796.5+181936.26+1006.65+18221.55+33023.12</f>
        <v>257984.08</v>
      </c>
      <c r="L24" s="4"/>
      <c r="M24" s="4">
        <f t="shared" si="2"/>
        <v>-2959.920000000013</v>
      </c>
      <c r="O24" s="4">
        <f>23295.42+186045.06+1107.31+21274.34+38090.5</f>
        <v>269812.63</v>
      </c>
      <c r="Q24" s="4">
        <f t="shared" si="3"/>
        <v>8868.630000000005</v>
      </c>
      <c r="S24" s="4"/>
      <c r="U24" s="65"/>
      <c r="X24" s="4"/>
    </row>
    <row r="25" spans="3:24" ht="12.75">
      <c r="C25" s="3" t="s">
        <v>12</v>
      </c>
      <c r="G25" s="4"/>
      <c r="I25" s="4">
        <v>63541.89</v>
      </c>
      <c r="J25" s="4"/>
      <c r="K25" s="4">
        <v>60304.09</v>
      </c>
      <c r="L25" s="4"/>
      <c r="M25" s="4">
        <f t="shared" si="2"/>
        <v>-3237.800000000003</v>
      </c>
      <c r="O25" s="4">
        <v>62724.91</v>
      </c>
      <c r="Q25" s="4">
        <f t="shared" si="3"/>
        <v>-816.9799999999959</v>
      </c>
      <c r="S25" s="4"/>
      <c r="U25" s="65"/>
      <c r="X25" s="4"/>
    </row>
    <row r="26" spans="3:24" ht="12.75">
      <c r="C26" t="s">
        <v>33</v>
      </c>
      <c r="G26" s="4"/>
      <c r="I26" s="4">
        <f>10209.34+15148.52+2467.42+8903.64</f>
        <v>36728.92</v>
      </c>
      <c r="J26" s="4" t="s">
        <v>18</v>
      </c>
      <c r="K26" s="4">
        <f>15401.28+15769.59+3137.2+6066.53</f>
        <v>40374.6</v>
      </c>
      <c r="L26" s="4"/>
      <c r="M26" s="4">
        <f t="shared" si="2"/>
        <v>3645.6800000000003</v>
      </c>
      <c r="O26" s="4">
        <f>16139.96+18423.29+3358.74+10079.51</f>
        <v>48001.5</v>
      </c>
      <c r="Q26" s="4">
        <f t="shared" si="3"/>
        <v>11272.580000000002</v>
      </c>
      <c r="S26" s="4"/>
      <c r="U26" s="65"/>
      <c r="X26" s="4"/>
    </row>
    <row r="27" spans="3:24" ht="12.75">
      <c r="C27" t="s">
        <v>10</v>
      </c>
      <c r="G27" s="4"/>
      <c r="I27" s="4">
        <v>31658.78</v>
      </c>
      <c r="J27" s="4"/>
      <c r="K27" s="4">
        <v>38506.11</v>
      </c>
      <c r="L27" s="4"/>
      <c r="M27" s="4">
        <f t="shared" si="2"/>
        <v>6847.330000000002</v>
      </c>
      <c r="O27" s="4">
        <v>51577.97</v>
      </c>
      <c r="Q27" s="4">
        <f t="shared" si="3"/>
        <v>19919.190000000002</v>
      </c>
      <c r="S27" s="4"/>
      <c r="U27" s="65"/>
      <c r="X27" s="4"/>
    </row>
    <row r="28" spans="3:24" ht="12.75">
      <c r="C28" t="s">
        <v>11</v>
      </c>
      <c r="G28" s="4"/>
      <c r="I28" s="4">
        <v>5614.43</v>
      </c>
      <c r="J28" s="4"/>
      <c r="K28" s="4">
        <v>7901.97</v>
      </c>
      <c r="L28" s="4"/>
      <c r="M28" s="4">
        <f t="shared" si="2"/>
        <v>2287.54</v>
      </c>
      <c r="O28" s="4">
        <v>5961.55</v>
      </c>
      <c r="Q28" s="4">
        <f t="shared" si="3"/>
        <v>347.1199999999999</v>
      </c>
      <c r="S28" s="4"/>
      <c r="U28" s="65"/>
      <c r="X28" s="4"/>
    </row>
    <row r="29" spans="3:24" ht="12.75">
      <c r="C29" s="3" t="s">
        <v>40</v>
      </c>
      <c r="G29" s="4"/>
      <c r="I29" s="4">
        <f>37645.52+861.36+10337.8</f>
        <v>48844.67999999999</v>
      </c>
      <c r="J29" s="4"/>
      <c r="K29" s="4">
        <f>38338.52+21761.72+4828.59</f>
        <v>64928.83</v>
      </c>
      <c r="L29" s="4"/>
      <c r="M29" s="4">
        <f t="shared" si="2"/>
        <v>16084.150000000009</v>
      </c>
      <c r="O29" s="4">
        <f>53686.77+10567.87+10946.44</f>
        <v>75201.08</v>
      </c>
      <c r="Q29" s="4">
        <f t="shared" si="3"/>
        <v>26356.40000000001</v>
      </c>
      <c r="S29" s="4"/>
      <c r="U29" s="65"/>
      <c r="X29" s="4"/>
    </row>
    <row r="30" spans="3:24" ht="12.75">
      <c r="C30" s="47" t="s">
        <v>41</v>
      </c>
      <c r="G30" s="4"/>
      <c r="I30" s="4">
        <f>14347.68+5189.74+12516.7</f>
        <v>32054.12</v>
      </c>
      <c r="J30" s="4"/>
      <c r="K30" s="4">
        <f>13073.49+4893.26+10977.2</f>
        <v>28943.95</v>
      </c>
      <c r="L30" s="4"/>
      <c r="M30" s="4">
        <f>SUM(K30-I30)</f>
        <v>-3110.1699999999983</v>
      </c>
      <c r="O30" s="4">
        <f>14995.97+5107.43+13376.26</f>
        <v>33479.66</v>
      </c>
      <c r="Q30" s="4">
        <f>SUM(O30-I30)</f>
        <v>1425.5400000000045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556094.97</v>
      </c>
      <c r="J34" s="5"/>
      <c r="K34" s="5">
        <f>SUM(K23:K32)</f>
        <v>575110.2799999998</v>
      </c>
      <c r="L34" s="5"/>
      <c r="M34" s="5">
        <f>SUM(M23:M32)</f>
        <v>19015.309999999998</v>
      </c>
      <c r="N34" s="4"/>
      <c r="O34" s="5">
        <f>SUM(O23:O32)</f>
        <v>624020.97</v>
      </c>
      <c r="Q34" s="5">
        <f>SUM(Q23:Q32)</f>
        <v>67926.00000000003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62000</v>
      </c>
      <c r="J37" s="4"/>
      <c r="K37" s="4">
        <v>66000</v>
      </c>
      <c r="L37" s="4"/>
      <c r="M37" s="4">
        <f>SUM(K37-I37)</f>
        <v>4000</v>
      </c>
      <c r="O37" s="4">
        <v>67500</v>
      </c>
      <c r="Q37" s="4">
        <f>SUM(O37-I37)</f>
        <v>5500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62000</v>
      </c>
      <c r="J39" s="10"/>
      <c r="K39" s="10">
        <f>SUM(K37:K37)</f>
        <v>66000</v>
      </c>
      <c r="L39" s="10"/>
      <c r="M39" s="4">
        <f>SUM(K39-I39)</f>
        <v>4000</v>
      </c>
      <c r="N39" s="10"/>
      <c r="O39" s="10">
        <f>SUM(O37:O37)</f>
        <v>67500</v>
      </c>
      <c r="Q39" s="4">
        <f>SUM(O39-I39)</f>
        <v>5500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618094.97</v>
      </c>
      <c r="J41" s="61"/>
      <c r="K41" s="61">
        <f>K34+K39</f>
        <v>641110.2799999998</v>
      </c>
      <c r="L41" s="61"/>
      <c r="M41" s="61">
        <f>M34+M39</f>
        <v>23015.309999999998</v>
      </c>
      <c r="O41" s="61">
        <f>O34+O39</f>
        <v>691520.97</v>
      </c>
      <c r="Q41" s="61">
        <f>Q34+Q39</f>
        <v>73426.00000000003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25390.41000000015</v>
      </c>
      <c r="J43" s="62"/>
      <c r="K43" s="62">
        <f>K19-K41</f>
        <v>9581.750000000233</v>
      </c>
      <c r="L43" s="62"/>
      <c r="M43" s="62">
        <f>SUM(M41+M19)</f>
        <v>15808.660000000025</v>
      </c>
      <c r="O43" s="62">
        <f>O19-O41</f>
        <v>-16251.079999999958</v>
      </c>
      <c r="Q43" s="62">
        <f>Q19+Q41</f>
        <v>41641.490000000136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43951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104</v>
      </c>
      <c r="J5" s="23"/>
      <c r="K5" s="23" t="s">
        <v>78</v>
      </c>
      <c r="L5" s="23"/>
      <c r="M5" s="26" t="s">
        <v>27</v>
      </c>
      <c r="O5" s="23" t="s">
        <v>104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879274.21+236479.59+17850</f>
        <v>1133603.8</v>
      </c>
      <c r="J8" s="4"/>
      <c r="K8" s="4">
        <f>909307.56+244631.89+18300</f>
        <v>1172239.4500000002</v>
      </c>
      <c r="L8" s="4"/>
      <c r="M8" s="4">
        <f aca="true" t="shared" si="0" ref="M8:M14">SUM(I8-K8)</f>
        <v>-38635.65000000014</v>
      </c>
      <c r="O8" s="4">
        <f>919231.02+234818.71+20558.2</f>
        <v>1174607.93</v>
      </c>
      <c r="Q8" s="4">
        <f aca="true" t="shared" si="1" ref="Q8:Q14">SUM(I8-O8)</f>
        <v>-41004.12999999989</v>
      </c>
      <c r="S8" s="4"/>
      <c r="U8" s="65"/>
      <c r="X8" s="4"/>
    </row>
    <row r="9" spans="4:24" ht="12.75">
      <c r="D9" t="s">
        <v>2</v>
      </c>
      <c r="G9" s="4"/>
      <c r="I9" s="4">
        <v>21523.58</v>
      </c>
      <c r="J9" s="4"/>
      <c r="K9" s="4">
        <v>58476.8</v>
      </c>
      <c r="L9" s="4"/>
      <c r="M9" s="4">
        <f t="shared" si="0"/>
        <v>-36953.22</v>
      </c>
      <c r="O9" s="4">
        <v>34295.75</v>
      </c>
      <c r="Q9" s="4">
        <f t="shared" si="1"/>
        <v>-12772.169999999998</v>
      </c>
      <c r="S9" s="4"/>
      <c r="U9" s="65"/>
      <c r="X9" s="4"/>
    </row>
    <row r="10" spans="4:24" ht="12.75">
      <c r="D10" t="s">
        <v>3</v>
      </c>
      <c r="G10" s="4"/>
      <c r="I10" s="4">
        <v>72683.65</v>
      </c>
      <c r="J10" s="4"/>
      <c r="K10" s="4">
        <v>76455.75</v>
      </c>
      <c r="L10" s="4"/>
      <c r="M10" s="4">
        <f t="shared" si="0"/>
        <v>-3772.100000000006</v>
      </c>
      <c r="O10" s="4">
        <v>101999.59</v>
      </c>
      <c r="Q10" s="4">
        <f t="shared" si="1"/>
        <v>-29315.940000000002</v>
      </c>
      <c r="S10" s="4"/>
      <c r="U10" s="65"/>
      <c r="X10" s="4"/>
    </row>
    <row r="11" spans="4:24" ht="12.75">
      <c r="D11" t="s">
        <v>31</v>
      </c>
      <c r="G11" s="4"/>
      <c r="I11" s="4">
        <f>14334.87+42883</f>
        <v>57217.87</v>
      </c>
      <c r="J11" s="4"/>
      <c r="K11" s="4">
        <f>8666.85+49108</f>
        <v>57774.85</v>
      </c>
      <c r="L11" s="4"/>
      <c r="M11" s="4">
        <f t="shared" si="0"/>
        <v>-556.9799999999959</v>
      </c>
      <c r="O11" s="4">
        <f>5960.26+47627.12</f>
        <v>53587.380000000005</v>
      </c>
      <c r="Q11" s="4">
        <f t="shared" si="1"/>
        <v>3630.489999999998</v>
      </c>
      <c r="S11" s="4"/>
      <c r="U11" s="65"/>
      <c r="X11" s="4"/>
    </row>
    <row r="12" spans="4:24" ht="12.75">
      <c r="D12" t="s">
        <v>30</v>
      </c>
      <c r="G12" s="4"/>
      <c r="I12" s="4">
        <v>3831.01</v>
      </c>
      <c r="J12" s="4"/>
      <c r="K12" s="4">
        <v>9283.91</v>
      </c>
      <c r="L12" s="4"/>
      <c r="M12" s="4">
        <f t="shared" si="0"/>
        <v>-5452.9</v>
      </c>
      <c r="O12" s="4">
        <v>8388.19</v>
      </c>
      <c r="Q12" s="4">
        <f t="shared" si="1"/>
        <v>-4557.18</v>
      </c>
      <c r="S12" s="4"/>
      <c r="U12" s="65"/>
      <c r="X12" s="4"/>
    </row>
    <row r="13" spans="4:24" ht="12.75">
      <c r="D13" t="s">
        <v>29</v>
      </c>
      <c r="G13" s="4"/>
      <c r="I13" s="4">
        <v>33971.48</v>
      </c>
      <c r="J13" s="4"/>
      <c r="K13" s="4">
        <f>949.6+34751.04</f>
        <v>35700.64</v>
      </c>
      <c r="L13" s="4"/>
      <c r="M13" s="4">
        <f t="shared" si="0"/>
        <v>-1729.1599999999962</v>
      </c>
      <c r="O13" s="4">
        <f>17248.71+29006.55</f>
        <v>46255.259999999995</v>
      </c>
      <c r="Q13" s="4">
        <f t="shared" si="1"/>
        <v>-12283.779999999992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1322831.3900000001</v>
      </c>
      <c r="J16" s="5"/>
      <c r="K16" s="5">
        <f>SUM(K8:K14)</f>
        <v>1409931.4000000001</v>
      </c>
      <c r="L16" s="5"/>
      <c r="M16" s="5">
        <f>SUM(M8:M14)</f>
        <v>-87100.01000000013</v>
      </c>
      <c r="N16" s="5"/>
      <c r="O16" s="5">
        <f>SUM(O8:O14)</f>
        <v>1419134.0999999999</v>
      </c>
      <c r="Q16" s="5">
        <f>SUM(Q8:Q14)</f>
        <v>-96302.70999999988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1322831.3900000001</v>
      </c>
      <c r="J19" s="61"/>
      <c r="K19" s="61">
        <f>K16</f>
        <v>1409931.4000000001</v>
      </c>
      <c r="L19" s="61"/>
      <c r="M19" s="61">
        <f>M16</f>
        <v>-87100.01000000013</v>
      </c>
      <c r="O19" s="61">
        <f>O16</f>
        <v>1419134.0999999999</v>
      </c>
      <c r="Q19" s="62">
        <f>SUM(I19-O19)</f>
        <v>-96302.70999999973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153416.3</v>
      </c>
      <c r="J23" s="4"/>
      <c r="K23" s="4">
        <v>152333.3</v>
      </c>
      <c r="L23" s="4"/>
      <c r="M23" s="4">
        <f aca="true" t="shared" si="2" ref="M23:M29">SUM(K23-I23)</f>
        <v>-1083</v>
      </c>
      <c r="O23" s="4">
        <v>154523.33</v>
      </c>
      <c r="Q23" s="4">
        <f aca="true" t="shared" si="3" ref="Q23:Q29">SUM(O23-I23)</f>
        <v>1107.0299999999988</v>
      </c>
      <c r="S23" s="4"/>
      <c r="U23" s="65"/>
      <c r="X23" s="4"/>
    </row>
    <row r="24" spans="3:24" ht="12.75">
      <c r="C24" t="s">
        <v>9</v>
      </c>
      <c r="G24" s="4"/>
      <c r="I24" s="4">
        <f>52424.66+383301.39+2013.3+45959.2+57514.32</f>
        <v>541212.87</v>
      </c>
      <c r="J24" s="4"/>
      <c r="K24" s="4">
        <f>55355.67+369616.03+2013.3+36443.1+61331.14</f>
        <v>524759.24</v>
      </c>
      <c r="L24" s="4"/>
      <c r="M24" s="4">
        <f t="shared" si="2"/>
        <v>-16453.630000000005</v>
      </c>
      <c r="O24" s="4">
        <f>54237.34+377890.98+2214.63+42548.69+66356.35</f>
        <v>543247.99</v>
      </c>
      <c r="Q24" s="4">
        <f t="shared" si="3"/>
        <v>2035.1199999999953</v>
      </c>
      <c r="S24" s="4"/>
      <c r="U24" s="65"/>
      <c r="X24" s="4"/>
    </row>
    <row r="25" spans="3:24" ht="12.75">
      <c r="C25" s="3" t="s">
        <v>12</v>
      </c>
      <c r="G25" s="4"/>
      <c r="I25" s="4">
        <v>124068.96</v>
      </c>
      <c r="J25" s="4"/>
      <c r="K25" s="4">
        <v>122726.86</v>
      </c>
      <c r="L25" s="4"/>
      <c r="M25" s="4">
        <f t="shared" si="2"/>
        <v>-1342.1000000000058</v>
      </c>
      <c r="O25" s="4">
        <v>127543.6</v>
      </c>
      <c r="Q25" s="4">
        <f t="shared" si="3"/>
        <v>3474.6399999999994</v>
      </c>
      <c r="S25" s="4"/>
      <c r="U25" s="65"/>
      <c r="X25" s="4"/>
    </row>
    <row r="26" spans="3:24" ht="12.75">
      <c r="C26" t="s">
        <v>33</v>
      </c>
      <c r="G26" s="4"/>
      <c r="I26" s="4">
        <f>39010.48+28282.06+5788.21+19914.06</f>
        <v>92994.81000000001</v>
      </c>
      <c r="J26" s="4" t="s">
        <v>18</v>
      </c>
      <c r="K26" s="4">
        <f>29724.76+28752.86+6616.76+16111.02</f>
        <v>81205.4</v>
      </c>
      <c r="L26" s="4"/>
      <c r="M26" s="4">
        <f t="shared" si="2"/>
        <v>-11789.410000000018</v>
      </c>
      <c r="O26" s="4">
        <f>32186.77+31622.4+6913.79+23341.49</f>
        <v>94064.45</v>
      </c>
      <c r="Q26" s="4">
        <f t="shared" si="3"/>
        <v>1069.6399999999849</v>
      </c>
      <c r="S26" s="4"/>
      <c r="U26" s="65"/>
      <c r="X26" s="4"/>
    </row>
    <row r="27" spans="3:24" ht="12.75">
      <c r="C27" t="s">
        <v>10</v>
      </c>
      <c r="G27" s="4"/>
      <c r="I27" s="4">
        <v>58011.66</v>
      </c>
      <c r="J27" s="4"/>
      <c r="K27" s="4">
        <v>61296.07</v>
      </c>
      <c r="L27" s="4"/>
      <c r="M27" s="4">
        <f t="shared" si="2"/>
        <v>3284.409999999996</v>
      </c>
      <c r="O27" s="4">
        <v>90264.9</v>
      </c>
      <c r="Q27" s="4">
        <f t="shared" si="3"/>
        <v>32253.23999999999</v>
      </c>
      <c r="S27" s="4"/>
      <c r="U27" s="65"/>
      <c r="X27" s="4"/>
    </row>
    <row r="28" spans="3:24" ht="12.75">
      <c r="C28" t="s">
        <v>11</v>
      </c>
      <c r="G28" s="4"/>
      <c r="I28" s="4">
        <v>10837.99</v>
      </c>
      <c r="J28" s="4"/>
      <c r="K28" s="4">
        <v>15288.85</v>
      </c>
      <c r="L28" s="4"/>
      <c r="M28" s="4">
        <f t="shared" si="2"/>
        <v>4450.860000000001</v>
      </c>
      <c r="O28" s="4">
        <v>13812.34</v>
      </c>
      <c r="Q28" s="4">
        <f t="shared" si="3"/>
        <v>2974.3500000000004</v>
      </c>
      <c r="S28" s="4"/>
      <c r="U28" s="65"/>
      <c r="X28" s="4"/>
    </row>
    <row r="29" spans="3:24" ht="12.75">
      <c r="C29" s="3" t="s">
        <v>40</v>
      </c>
      <c r="G29" s="4"/>
      <c r="I29" s="4">
        <f>61880.11+3694.9+13962.47</f>
        <v>79537.48</v>
      </c>
      <c r="J29" s="4"/>
      <c r="K29" s="4">
        <f>82856.34+22897.49+15834.68</f>
        <v>121588.51000000001</v>
      </c>
      <c r="L29" s="4"/>
      <c r="M29" s="4">
        <f t="shared" si="2"/>
        <v>42051.03000000001</v>
      </c>
      <c r="O29" s="4">
        <f>118520.41+11261.99+26056.24</f>
        <v>155838.64</v>
      </c>
      <c r="Q29" s="4">
        <f t="shared" si="3"/>
        <v>76301.16000000002</v>
      </c>
      <c r="S29" s="4"/>
      <c r="U29" s="65"/>
      <c r="X29" s="4"/>
    </row>
    <row r="30" spans="3:24" ht="12.75">
      <c r="C30" s="47" t="s">
        <v>41</v>
      </c>
      <c r="G30" s="4"/>
      <c r="I30" s="4">
        <f>29859.47+11048.86+25432.52</f>
        <v>66340.85</v>
      </c>
      <c r="J30" s="4"/>
      <c r="K30" s="4">
        <f>32326.29+11140.05+28931.58</f>
        <v>72397.92</v>
      </c>
      <c r="L30" s="4"/>
      <c r="M30" s="4">
        <f>SUM(K30-I30)</f>
        <v>6057.069999999992</v>
      </c>
      <c r="O30" s="4">
        <f>37375.91+11409.91+35772.71</f>
        <v>84558.53</v>
      </c>
      <c r="Q30" s="4">
        <f>SUM(O30-I30)</f>
        <v>18217.679999999993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0</v>
      </c>
      <c r="L32" s="39"/>
      <c r="M32" s="4">
        <f>SUM(K32-I32)</f>
        <v>-25047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1151467.9200000002</v>
      </c>
      <c r="J34" s="5"/>
      <c r="K34" s="5">
        <f>SUM(K23:K32)</f>
        <v>1151596.15</v>
      </c>
      <c r="L34" s="5"/>
      <c r="M34" s="5">
        <f>SUM(M23:M32)</f>
        <v>128.2299999999741</v>
      </c>
      <c r="N34" s="4"/>
      <c r="O34" s="5">
        <f>SUM(O23:O32)</f>
        <v>1263853.78</v>
      </c>
      <c r="Q34" s="5">
        <f>SUM(Q23:Q32)</f>
        <v>112385.85999999999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1275467.9200000002</v>
      </c>
      <c r="J41" s="61"/>
      <c r="K41" s="61">
        <f>K34+K39</f>
        <v>1283596.15</v>
      </c>
      <c r="L41" s="61"/>
      <c r="M41" s="61">
        <f>M34+M39</f>
        <v>8128.229999999974</v>
      </c>
      <c r="O41" s="61">
        <f>O34+O39</f>
        <v>1398853.78</v>
      </c>
      <c r="Q41" s="61">
        <f>Q34+Q39</f>
        <v>123385.85999999999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47363.46999999997</v>
      </c>
      <c r="J43" s="62"/>
      <c r="K43" s="62">
        <f>K19-K41</f>
        <v>126335.25000000023</v>
      </c>
      <c r="L43" s="62"/>
      <c r="M43" s="62">
        <f>SUM(M41+M19)</f>
        <v>-78971.78000000014</v>
      </c>
      <c r="O43" s="62">
        <f>O19-O41</f>
        <v>20280.319999999832</v>
      </c>
      <c r="Q43" s="62">
        <f>Q19+Q41</f>
        <v>27083.150000000256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44012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105</v>
      </c>
      <c r="J5" s="23"/>
      <c r="K5" s="23" t="s">
        <v>80</v>
      </c>
      <c r="L5" s="23"/>
      <c r="M5" s="26" t="s">
        <v>27</v>
      </c>
      <c r="O5" s="23" t="s">
        <v>105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1031305.39+258506.44+18950</f>
        <v>1308761.83</v>
      </c>
      <c r="J8" s="4"/>
      <c r="K8" s="4">
        <f>1083081.35+311330.6+20450</f>
        <v>1414861.9500000002</v>
      </c>
      <c r="L8" s="4"/>
      <c r="M8" s="4">
        <f aca="true" t="shared" si="0" ref="M8:M14">SUM(I8-K8)</f>
        <v>-106100.12000000011</v>
      </c>
      <c r="O8" s="4">
        <f>1095226.96+281943.23+22959</f>
        <v>1400129.19</v>
      </c>
      <c r="Q8" s="4">
        <f aca="true" t="shared" si="1" ref="Q8:Q14">SUM(I8-O8)</f>
        <v>-91367.35999999987</v>
      </c>
      <c r="S8" s="4"/>
      <c r="U8" s="65"/>
      <c r="X8" s="4"/>
    </row>
    <row r="9" spans="4:24" ht="12.75">
      <c r="D9" t="s">
        <v>2</v>
      </c>
      <c r="G9" s="4"/>
      <c r="I9" s="4">
        <v>40281.75</v>
      </c>
      <c r="J9" s="4"/>
      <c r="K9" s="4">
        <v>81827.14</v>
      </c>
      <c r="L9" s="4"/>
      <c r="M9" s="4">
        <f t="shared" si="0"/>
        <v>-41545.39</v>
      </c>
      <c r="O9" s="4">
        <v>37632.15</v>
      </c>
      <c r="Q9" s="4">
        <f t="shared" si="1"/>
        <v>2649.5999999999985</v>
      </c>
      <c r="S9" s="4"/>
      <c r="U9" s="65"/>
      <c r="X9" s="4"/>
    </row>
    <row r="10" spans="4:24" ht="12.75">
      <c r="D10" t="s">
        <v>3</v>
      </c>
      <c r="G10" s="4"/>
      <c r="I10" s="4">
        <v>72856.68</v>
      </c>
      <c r="J10" s="4"/>
      <c r="K10" s="4">
        <v>79419.75</v>
      </c>
      <c r="L10" s="4"/>
      <c r="M10" s="4">
        <f t="shared" si="0"/>
        <v>-6563.070000000007</v>
      </c>
      <c r="O10" s="4">
        <v>108773.97</v>
      </c>
      <c r="Q10" s="4">
        <f t="shared" si="1"/>
        <v>-35917.29000000001</v>
      </c>
      <c r="S10" s="4"/>
      <c r="U10" s="65"/>
      <c r="X10" s="4"/>
    </row>
    <row r="11" spans="4:24" ht="12.75">
      <c r="D11" t="s">
        <v>31</v>
      </c>
      <c r="G11" s="4"/>
      <c r="I11" s="4">
        <f>21917.44+54883</f>
        <v>76800.44</v>
      </c>
      <c r="J11" s="4"/>
      <c r="K11" s="4">
        <f>9863.39+59908</f>
        <v>69771.39</v>
      </c>
      <c r="L11" s="4"/>
      <c r="M11" s="4">
        <f t="shared" si="0"/>
        <v>7029.050000000003</v>
      </c>
      <c r="O11" s="4">
        <f>6782.51+58000</f>
        <v>64782.51</v>
      </c>
      <c r="Q11" s="4">
        <f t="shared" si="1"/>
        <v>12017.93</v>
      </c>
      <c r="S11" s="4"/>
      <c r="U11" s="65"/>
      <c r="X11" s="4"/>
    </row>
    <row r="12" spans="4:24" ht="12.75">
      <c r="D12" t="s">
        <v>30</v>
      </c>
      <c r="G12" s="4"/>
      <c r="I12" s="4">
        <v>12392.86</v>
      </c>
      <c r="J12" s="4"/>
      <c r="K12" s="4">
        <v>9864.4</v>
      </c>
      <c r="L12" s="4"/>
      <c r="M12" s="4">
        <f t="shared" si="0"/>
        <v>2528.460000000001</v>
      </c>
      <c r="O12" s="4">
        <v>8484.79</v>
      </c>
      <c r="Q12" s="4">
        <f t="shared" si="1"/>
        <v>3908.0699999999997</v>
      </c>
      <c r="S12" s="4"/>
      <c r="U12" s="65"/>
      <c r="X12" s="4"/>
    </row>
    <row r="13" spans="4:24" ht="12.75">
      <c r="D13" t="s">
        <v>29</v>
      </c>
      <c r="G13" s="4"/>
      <c r="I13" s="4">
        <v>62673.26</v>
      </c>
      <c r="J13" s="4"/>
      <c r="K13" s="4">
        <f>76610.14+949.6</f>
        <v>77559.74</v>
      </c>
      <c r="L13" s="4"/>
      <c r="M13" s="4">
        <f t="shared" si="0"/>
        <v>-14886.480000000003</v>
      </c>
      <c r="O13" s="4">
        <f>22556+37000</f>
        <v>59556</v>
      </c>
      <c r="Q13" s="4">
        <f t="shared" si="1"/>
        <v>3117.260000000002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1573766.82</v>
      </c>
      <c r="J16" s="5"/>
      <c r="K16" s="5">
        <f>SUM(K8:K14)</f>
        <v>1733304.3699999999</v>
      </c>
      <c r="L16" s="5"/>
      <c r="M16" s="5">
        <f>SUM(M8:M14)</f>
        <v>-159537.55000000016</v>
      </c>
      <c r="N16" s="5"/>
      <c r="O16" s="5">
        <f>SUM(O8:O14)</f>
        <v>1679358.6099999999</v>
      </c>
      <c r="Q16" s="5">
        <f>SUM(Q8:Q14)</f>
        <v>-105591.78999999986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1573766.82</v>
      </c>
      <c r="J19" s="61"/>
      <c r="K19" s="61">
        <f>K16</f>
        <v>1733304.3699999999</v>
      </c>
      <c r="L19" s="61"/>
      <c r="M19" s="61">
        <f>M16</f>
        <v>-159537.55000000016</v>
      </c>
      <c r="O19" s="61">
        <f>O16</f>
        <v>1679358.6099999999</v>
      </c>
      <c r="Q19" s="62">
        <f>SUM(I19-O19)</f>
        <v>-105591.7899999998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184099.56</v>
      </c>
      <c r="J23" s="4"/>
      <c r="K23" s="4">
        <v>182799.96</v>
      </c>
      <c r="L23" s="4"/>
      <c r="M23" s="4">
        <f aca="true" t="shared" si="2" ref="M23:M29">SUM(K23-I23)</f>
        <v>-1299.6000000000058</v>
      </c>
      <c r="O23" s="4">
        <v>185428</v>
      </c>
      <c r="Q23" s="4">
        <f aca="true" t="shared" si="3" ref="Q23:Q29">SUM(O23-I23)</f>
        <v>1328.4400000000023</v>
      </c>
      <c r="S23" s="4"/>
      <c r="U23" s="65"/>
      <c r="X23" s="4"/>
    </row>
    <row r="24" spans="3:24" ht="12.75">
      <c r="C24" t="s">
        <v>9</v>
      </c>
      <c r="G24" s="4"/>
      <c r="I24" s="4">
        <f>58901.08+437453.43+2415.96+55151.04+59821.12</f>
        <v>613742.63</v>
      </c>
      <c r="J24" s="4"/>
      <c r="K24" s="4">
        <f>63574.59+436027.69+2415.96+43731.69+64451.48</f>
        <v>610201.41</v>
      </c>
      <c r="L24" s="4"/>
      <c r="M24" s="4">
        <f t="shared" si="2"/>
        <v>-3541.219999999972</v>
      </c>
      <c r="O24" s="4">
        <f>62286+445779+2657.55+51058.39+74025.57</f>
        <v>635806.51</v>
      </c>
      <c r="Q24" s="4">
        <f t="shared" si="3"/>
        <v>22063.880000000005</v>
      </c>
      <c r="S24" s="4"/>
      <c r="U24" s="65"/>
      <c r="X24" s="4"/>
    </row>
    <row r="25" spans="3:24" ht="12.75">
      <c r="C25" s="3" t="s">
        <v>12</v>
      </c>
      <c r="G25" s="4"/>
      <c r="I25" s="4">
        <v>144193.37</v>
      </c>
      <c r="J25" s="4"/>
      <c r="K25" s="4">
        <v>147365.13</v>
      </c>
      <c r="L25" s="4"/>
      <c r="M25" s="4">
        <f t="shared" si="2"/>
        <v>3171.7600000000093</v>
      </c>
      <c r="O25" s="4">
        <v>153032.72</v>
      </c>
      <c r="Q25" s="4">
        <f t="shared" si="3"/>
        <v>8839.350000000006</v>
      </c>
      <c r="S25" s="4"/>
      <c r="U25" s="65"/>
      <c r="X25" s="4"/>
    </row>
    <row r="26" spans="3:24" ht="12.75">
      <c r="C26" t="s">
        <v>33</v>
      </c>
      <c r="G26" s="4"/>
      <c r="I26" s="4">
        <f>55403.04+29697.55+7037.43+20480.93</f>
        <v>112618.94999999998</v>
      </c>
      <c r="J26" s="4" t="s">
        <v>18</v>
      </c>
      <c r="K26" s="4">
        <f>33737.89+35145.08+8674.67+20062.19</f>
        <v>97619.83</v>
      </c>
      <c r="L26" s="4"/>
      <c r="M26" s="4">
        <f t="shared" si="2"/>
        <v>-14999.11999999998</v>
      </c>
      <c r="O26" s="4">
        <f>36580.78+38101.17+8693.73+29512.7</f>
        <v>112888.37999999999</v>
      </c>
      <c r="Q26" s="4">
        <f t="shared" si="3"/>
        <v>269.43000000000757</v>
      </c>
      <c r="S26" s="4"/>
      <c r="U26" s="65"/>
      <c r="X26" s="4"/>
    </row>
    <row r="27" spans="3:24" ht="12.75">
      <c r="C27" t="s">
        <v>10</v>
      </c>
      <c r="G27" s="4"/>
      <c r="I27" s="4">
        <v>60769.82</v>
      </c>
      <c r="J27" s="4"/>
      <c r="K27" s="4">
        <v>74302.31</v>
      </c>
      <c r="L27" s="4"/>
      <c r="M27" s="4">
        <f t="shared" si="2"/>
        <v>13532.489999999998</v>
      </c>
      <c r="O27" s="4">
        <v>122265.45</v>
      </c>
      <c r="Q27" s="4">
        <f t="shared" si="3"/>
        <v>61495.63</v>
      </c>
      <c r="S27" s="4"/>
      <c r="U27" s="65"/>
      <c r="X27" s="4"/>
    </row>
    <row r="28" spans="3:24" ht="12.75">
      <c r="C28" t="s">
        <v>11</v>
      </c>
      <c r="G28" s="4"/>
      <c r="I28" s="4">
        <v>12207.79</v>
      </c>
      <c r="J28" s="4"/>
      <c r="K28" s="4">
        <v>17289.1</v>
      </c>
      <c r="L28" s="4"/>
      <c r="M28" s="4">
        <f t="shared" si="2"/>
        <v>5081.309999999998</v>
      </c>
      <c r="O28" s="4">
        <v>16821.64</v>
      </c>
      <c r="Q28" s="4">
        <f t="shared" si="3"/>
        <v>4613.8499999999985</v>
      </c>
      <c r="S28" s="4"/>
      <c r="U28" s="65"/>
      <c r="X28" s="4"/>
    </row>
    <row r="29" spans="3:24" ht="12.75">
      <c r="C29" s="3" t="s">
        <v>40</v>
      </c>
      <c r="G29" s="4"/>
      <c r="I29" s="4">
        <f>71290.85+10773.35+18773.01</f>
        <v>100837.21</v>
      </c>
      <c r="J29" s="4"/>
      <c r="K29" s="4">
        <f>105898.96+24450.98+17523.3</f>
        <v>147873.24</v>
      </c>
      <c r="L29" s="4"/>
      <c r="M29" s="4">
        <f t="shared" si="2"/>
        <v>47036.029999999984</v>
      </c>
      <c r="O29" s="4">
        <f>153747.89+12568.72+30751.65</f>
        <v>197068.26</v>
      </c>
      <c r="Q29" s="4">
        <f t="shared" si="3"/>
        <v>96231.05</v>
      </c>
      <c r="S29" s="4"/>
      <c r="U29" s="65"/>
      <c r="X29" s="4"/>
    </row>
    <row r="30" spans="3:24" ht="12.75">
      <c r="C30" s="47" t="s">
        <v>41</v>
      </c>
      <c r="G30" s="4"/>
      <c r="I30" s="4">
        <f>31328.48+12032.57+26223.06</f>
        <v>69584.11</v>
      </c>
      <c r="J30" s="4"/>
      <c r="K30" s="4">
        <f>35906.47+12494.94+32249.35</f>
        <v>80650.76000000001</v>
      </c>
      <c r="L30" s="4"/>
      <c r="M30" s="4">
        <f>SUM(K30-I30)</f>
        <v>11066.650000000009</v>
      </c>
      <c r="O30" s="4">
        <f>41431.94+12753.59+39827.58</f>
        <v>94013.11</v>
      </c>
      <c r="Q30" s="4">
        <f>SUM(O30-I30)</f>
        <v>24429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40455</v>
      </c>
      <c r="L32" s="39"/>
      <c r="M32" s="4">
        <f>SUM(K32-I32)</f>
        <v>15408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1323100.4400000002</v>
      </c>
      <c r="J34" s="5"/>
      <c r="K34" s="5">
        <f>SUM(K23:K32)</f>
        <v>1398556.74</v>
      </c>
      <c r="L34" s="5"/>
      <c r="M34" s="5">
        <f>SUM(M23:M32)</f>
        <v>75456.30000000005</v>
      </c>
      <c r="N34" s="4"/>
      <c r="O34" s="5">
        <f>SUM(O23:O32)</f>
        <v>1517324.0699999998</v>
      </c>
      <c r="Q34" s="5">
        <f>SUM(Q23:Q32)</f>
        <v>194223.63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1447100.4400000002</v>
      </c>
      <c r="J41" s="61"/>
      <c r="K41" s="61">
        <f>K34+K39</f>
        <v>1530556.74</v>
      </c>
      <c r="L41" s="61"/>
      <c r="M41" s="61">
        <f>M34+M39</f>
        <v>83456.30000000005</v>
      </c>
      <c r="O41" s="61">
        <f>O34+O39</f>
        <v>1652324.0699999998</v>
      </c>
      <c r="Q41" s="61">
        <f>Q34+Q39</f>
        <v>205223.63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126666.37999999989</v>
      </c>
      <c r="J43" s="62"/>
      <c r="K43" s="62">
        <f>K19-K41</f>
        <v>202747.6299999999</v>
      </c>
      <c r="L43" s="62"/>
      <c r="M43" s="62">
        <f>SUM(M41+M19)</f>
        <v>-76081.25000000012</v>
      </c>
      <c r="O43" s="62">
        <f>O19-O41</f>
        <v>27034.540000000037</v>
      </c>
      <c r="Q43" s="62">
        <f>Q19+Q41</f>
        <v>99631.8400000002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44196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110</v>
      </c>
      <c r="J5" s="23"/>
      <c r="K5" s="23" t="s">
        <v>111</v>
      </c>
      <c r="L5" s="23"/>
      <c r="M5" s="26" t="s">
        <v>27</v>
      </c>
      <c r="O5" s="23" t="s">
        <v>110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521305.09+198682.25+6650</f>
        <v>726637.3400000001</v>
      </c>
      <c r="J8" s="4"/>
      <c r="K8" s="4">
        <f>558859.18+145050.96+11550</f>
        <v>715460.14</v>
      </c>
      <c r="L8" s="4"/>
      <c r="M8" s="4">
        <f aca="true" t="shared" si="0" ref="M8:M14">SUM(I8-K8)</f>
        <v>11177.20000000007</v>
      </c>
      <c r="O8" s="4">
        <f>482475.29+173266.8+13436.85</f>
        <v>669178.94</v>
      </c>
      <c r="Q8" s="4">
        <f aca="true" t="shared" si="1" ref="Q8:Q14">SUM(I8-O8)</f>
        <v>57458.40000000014</v>
      </c>
      <c r="S8" s="4"/>
      <c r="U8" s="65"/>
      <c r="X8" s="4"/>
    </row>
    <row r="9" spans="4:24" ht="12.75">
      <c r="D9" t="s">
        <v>2</v>
      </c>
      <c r="G9" s="4"/>
      <c r="I9" s="4">
        <v>-8879.93</v>
      </c>
      <c r="J9" s="4"/>
      <c r="K9" s="4">
        <v>23662.66</v>
      </c>
      <c r="L9" s="4"/>
      <c r="M9" s="4">
        <f t="shared" si="0"/>
        <v>-32542.59</v>
      </c>
      <c r="O9" s="4">
        <v>24632.46</v>
      </c>
      <c r="Q9" s="4">
        <f t="shared" si="1"/>
        <v>-33512.39</v>
      </c>
      <c r="S9" s="4"/>
      <c r="U9" s="65"/>
      <c r="X9" s="4"/>
    </row>
    <row r="10" spans="4:24" ht="12.75">
      <c r="D10" t="s">
        <v>3</v>
      </c>
      <c r="G10" s="4"/>
      <c r="I10" s="4">
        <v>50987.54</v>
      </c>
      <c r="J10" s="4"/>
      <c r="K10" s="4">
        <v>67218.01</v>
      </c>
      <c r="L10" s="4"/>
      <c r="M10" s="4">
        <f t="shared" si="0"/>
        <v>-16230.469999999994</v>
      </c>
      <c r="O10" s="4">
        <v>71300.87</v>
      </c>
      <c r="Q10" s="4">
        <f t="shared" si="1"/>
        <v>-20313.329999999994</v>
      </c>
      <c r="S10" s="4"/>
      <c r="U10" s="65"/>
      <c r="X10" s="4"/>
    </row>
    <row r="11" spans="4:24" ht="12.75">
      <c r="D11" t="s">
        <v>31</v>
      </c>
      <c r="G11" s="4"/>
      <c r="I11" s="4">
        <f>9534.88+24000</f>
        <v>33534.88</v>
      </c>
      <c r="J11" s="4"/>
      <c r="K11" s="4">
        <f>12723.52+28756</f>
        <v>41479.520000000004</v>
      </c>
      <c r="L11" s="4"/>
      <c r="M11" s="4">
        <f t="shared" si="0"/>
        <v>-7944.640000000007</v>
      </c>
      <c r="O11" s="4">
        <f>3391.26+30945.37</f>
        <v>34336.63</v>
      </c>
      <c r="Q11" s="4">
        <f t="shared" si="1"/>
        <v>-801.75</v>
      </c>
      <c r="S11" s="4"/>
      <c r="U11" s="65"/>
      <c r="X11" s="4"/>
    </row>
    <row r="12" spans="4:24" ht="12.75">
      <c r="D12" t="s">
        <v>30</v>
      </c>
      <c r="G12" s="4"/>
      <c r="I12" s="4">
        <v>2120.49</v>
      </c>
      <c r="J12" s="4"/>
      <c r="K12" s="4">
        <v>2088.43</v>
      </c>
      <c r="L12" s="4"/>
      <c r="M12" s="4">
        <f t="shared" si="0"/>
        <v>32.059999999999945</v>
      </c>
      <c r="O12" s="4">
        <v>2190.56</v>
      </c>
      <c r="Q12" s="4">
        <f t="shared" si="1"/>
        <v>-70.07000000000016</v>
      </c>
      <c r="S12" s="4"/>
      <c r="U12" s="65"/>
      <c r="X12" s="4"/>
    </row>
    <row r="13" spans="4:24" ht="12.75">
      <c r="D13" t="s">
        <v>29</v>
      </c>
      <c r="G13" s="4"/>
      <c r="I13" s="4">
        <f>343.12+5071.74</f>
        <v>5414.86</v>
      </c>
      <c r="J13" s="4"/>
      <c r="K13" s="4">
        <v>27845.61</v>
      </c>
      <c r="L13" s="4"/>
      <c r="M13" s="4">
        <f t="shared" si="0"/>
        <v>-22430.75</v>
      </c>
      <c r="O13" s="4">
        <v>120936.27</v>
      </c>
      <c r="Q13" s="4">
        <f t="shared" si="1"/>
        <v>-115521.41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809815.18</v>
      </c>
      <c r="J16" s="5"/>
      <c r="K16" s="5">
        <f>SUM(K8:K14)</f>
        <v>877754.3700000001</v>
      </c>
      <c r="L16" s="5"/>
      <c r="M16" s="5">
        <f>SUM(M8:M14)</f>
        <v>-67939.18999999994</v>
      </c>
      <c r="N16" s="5"/>
      <c r="O16" s="5">
        <f>SUM(O8:O14)</f>
        <v>922575.73</v>
      </c>
      <c r="Q16" s="5">
        <f>SUM(Q8:Q14)</f>
        <v>-112760.54999999986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809815.18</v>
      </c>
      <c r="J19" s="61"/>
      <c r="K19" s="61">
        <f>K16</f>
        <v>877754.3700000001</v>
      </c>
      <c r="L19" s="61"/>
      <c r="M19" s="61">
        <f>M16</f>
        <v>-67939.18999999994</v>
      </c>
      <c r="O19" s="61">
        <f>O16</f>
        <v>922575.73</v>
      </c>
      <c r="Q19" s="62">
        <f>SUM(I19-O19)</f>
        <v>-112760.54999999993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94950</v>
      </c>
      <c r="J23" s="4"/>
      <c r="K23" s="4">
        <v>92049.78</v>
      </c>
      <c r="L23" s="4"/>
      <c r="M23" s="4">
        <f aca="true" t="shared" si="2" ref="M23:M29">SUM(K23-I23)</f>
        <v>-2900.220000000001</v>
      </c>
      <c r="O23" s="4">
        <v>96186</v>
      </c>
      <c r="Q23" s="4">
        <f aca="true" t="shared" si="3" ref="Q23:Q29">SUM(O23-I23)</f>
        <v>1236</v>
      </c>
      <c r="S23" s="4"/>
      <c r="U23" s="65"/>
      <c r="X23" s="4"/>
    </row>
    <row r="24" spans="3:24" ht="12.75">
      <c r="C24" t="s">
        <v>9</v>
      </c>
      <c r="G24" s="4"/>
      <c r="I24" s="4">
        <f>33597.76+192789.74+1341+30609.66+26917.93</f>
        <v>285256.09</v>
      </c>
      <c r="J24" s="4"/>
      <c r="K24" s="4">
        <f>35971.8+235931.15+1207.98+27575.52+33294.88</f>
        <v>333981.33</v>
      </c>
      <c r="L24" s="4"/>
      <c r="M24" s="4">
        <f t="shared" si="2"/>
        <v>48725.23999999999</v>
      </c>
      <c r="O24" s="4">
        <f>40732.06+209168.41+1328.78+30333.07+37995.47</f>
        <v>319557.79000000004</v>
      </c>
      <c r="Q24" s="4">
        <f t="shared" si="3"/>
        <v>34301.70000000001</v>
      </c>
      <c r="S24" s="4"/>
      <c r="U24" s="65"/>
      <c r="X24" s="4"/>
    </row>
    <row r="25" spans="3:24" ht="12.75">
      <c r="C25" s="3" t="s">
        <v>106</v>
      </c>
      <c r="G25" s="4"/>
      <c r="I25" s="4">
        <v>63521.32</v>
      </c>
      <c r="J25" s="4"/>
      <c r="K25" s="4">
        <v>73598.59</v>
      </c>
      <c r="L25" s="4"/>
      <c r="M25" s="4">
        <f t="shared" si="2"/>
        <v>10077.269999999997</v>
      </c>
      <c r="O25" s="4">
        <v>68920.29</v>
      </c>
      <c r="Q25" s="4">
        <f t="shared" si="3"/>
        <v>5398.969999999994</v>
      </c>
      <c r="S25" s="4"/>
      <c r="U25" s="65"/>
      <c r="X25" s="4"/>
    </row>
    <row r="26" spans="3:24" ht="12.75">
      <c r="C26" t="s">
        <v>33</v>
      </c>
      <c r="G26" s="4"/>
      <c r="I26" s="4">
        <f>55001.89+11931.92+3633.44+4684.17</f>
        <v>75251.42</v>
      </c>
      <c r="J26" s="4" t="s">
        <v>18</v>
      </c>
      <c r="K26" s="4">
        <f>12927.63+20414.98+3046.34+12968.98</f>
        <v>49357.92999999999</v>
      </c>
      <c r="L26" s="4"/>
      <c r="M26" s="4">
        <f t="shared" si="2"/>
        <v>-25893.490000000005</v>
      </c>
      <c r="O26" s="4">
        <f>14243.78+23507.11+3390.46+17327.56</f>
        <v>58468.91</v>
      </c>
      <c r="Q26" s="4">
        <f t="shared" si="3"/>
        <v>-16782.509999999995</v>
      </c>
      <c r="S26" s="4"/>
      <c r="U26" s="65"/>
      <c r="X26" s="4"/>
    </row>
    <row r="27" spans="3:24" ht="12.75">
      <c r="C27" t="s">
        <v>10</v>
      </c>
      <c r="G27" s="4"/>
      <c r="I27" s="4">
        <v>26002.04</v>
      </c>
      <c r="J27" s="4"/>
      <c r="K27" s="4">
        <v>37482.54</v>
      </c>
      <c r="L27" s="4"/>
      <c r="M27" s="4">
        <f t="shared" si="2"/>
        <v>11480.5</v>
      </c>
      <c r="O27" s="4">
        <v>60149.3</v>
      </c>
      <c r="Q27" s="4">
        <f t="shared" si="3"/>
        <v>34147.26</v>
      </c>
      <c r="S27" s="4"/>
      <c r="U27" s="65"/>
      <c r="X27" s="4"/>
    </row>
    <row r="28" spans="3:24" ht="12.75">
      <c r="C28" t="s">
        <v>11</v>
      </c>
      <c r="G28" s="4"/>
      <c r="I28" s="4">
        <v>5281.25</v>
      </c>
      <c r="J28" s="4"/>
      <c r="K28" s="4">
        <v>6149.55</v>
      </c>
      <c r="L28" s="4"/>
      <c r="M28" s="4">
        <f t="shared" si="2"/>
        <v>868.3000000000002</v>
      </c>
      <c r="O28" s="4">
        <v>7966.9</v>
      </c>
      <c r="Q28" s="4">
        <f t="shared" si="3"/>
        <v>2685.6499999999996</v>
      </c>
      <c r="S28" s="4"/>
      <c r="U28" s="65"/>
      <c r="X28" s="4"/>
    </row>
    <row r="29" spans="3:24" ht="12.75">
      <c r="C29" s="3" t="s">
        <v>40</v>
      </c>
      <c r="G29" s="4"/>
      <c r="I29" s="4">
        <f>20479.73+586.04+5649.88</f>
        <v>26715.65</v>
      </c>
      <c r="J29" s="4"/>
      <c r="K29" s="4">
        <f>42384.05+2363.69+11302.51</f>
        <v>56050.25000000001</v>
      </c>
      <c r="L29" s="4"/>
      <c r="M29" s="4">
        <f t="shared" si="2"/>
        <v>29334.600000000006</v>
      </c>
      <c r="O29" s="4">
        <f>72931.2+3283.47+13078.24</f>
        <v>89292.91</v>
      </c>
      <c r="Q29" s="4">
        <f t="shared" si="3"/>
        <v>62577.26</v>
      </c>
      <c r="S29" s="4"/>
      <c r="U29" s="65"/>
      <c r="X29" s="4"/>
    </row>
    <row r="30" spans="3:24" ht="12.75">
      <c r="C30" s="47" t="s">
        <v>41</v>
      </c>
      <c r="G30" s="4"/>
      <c r="I30" s="4">
        <f>15296.7+6081.27+13194.97</f>
        <v>34572.94</v>
      </c>
      <c r="J30" s="4"/>
      <c r="K30" s="4">
        <f>17892.51+6596.23+15351.96</f>
        <v>39840.7</v>
      </c>
      <c r="L30" s="4"/>
      <c r="M30" s="4">
        <f>SUM(K30-I30)</f>
        <v>5267.759999999995</v>
      </c>
      <c r="O30" s="4">
        <f>20909.94+6936.16+19298.74</f>
        <v>47144.84</v>
      </c>
      <c r="Q30" s="4">
        <f>SUM(O30-I30)</f>
        <v>12571.899999999994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611550.71</v>
      </c>
      <c r="J34" s="5"/>
      <c r="K34" s="5">
        <f>SUM(K23:K32)</f>
        <v>688510.6699999999</v>
      </c>
      <c r="L34" s="5"/>
      <c r="M34" s="5">
        <f>SUM(M23:M32)</f>
        <v>76959.95999999998</v>
      </c>
      <c r="N34" s="4"/>
      <c r="O34" s="5">
        <f>SUM(O23:O32)</f>
        <v>747686.9400000001</v>
      </c>
      <c r="Q34" s="5">
        <f>SUM(Q23:Q32)</f>
        <v>136136.23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65500</v>
      </c>
      <c r="J37" s="4"/>
      <c r="K37" s="4">
        <v>62000</v>
      </c>
      <c r="L37" s="4"/>
      <c r="M37" s="4">
        <f>SUM(K37-I37)</f>
        <v>-3500</v>
      </c>
      <c r="O37" s="4">
        <v>67500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65500</v>
      </c>
      <c r="J39" s="5"/>
      <c r="K39" s="5">
        <f>SUM(K37:K37)</f>
        <v>62000</v>
      </c>
      <c r="L39" s="5"/>
      <c r="M39" s="4">
        <f>SUM(K39-I39)</f>
        <v>-3500</v>
      </c>
      <c r="N39" s="5"/>
      <c r="O39" s="5">
        <f>SUM(O37:O37)</f>
        <v>67500</v>
      </c>
      <c r="Q39" s="4">
        <f>SUM(O39-I39)</f>
        <v>2000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677050.71</v>
      </c>
      <c r="J41" s="61"/>
      <c r="K41" s="61">
        <f>K34+K39</f>
        <v>750510.6699999999</v>
      </c>
      <c r="L41" s="61"/>
      <c r="M41" s="61">
        <f>M34+M39</f>
        <v>73459.95999999998</v>
      </c>
      <c r="O41" s="61">
        <f>O34+O39</f>
        <v>815186.9400000001</v>
      </c>
      <c r="Q41" s="61">
        <f>Q34+Q39</f>
        <v>138136.23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132764.4700000001</v>
      </c>
      <c r="J43" s="62"/>
      <c r="K43" s="62">
        <f>K19-K41</f>
        <v>127243.70000000019</v>
      </c>
      <c r="L43" s="62"/>
      <c r="M43" s="62">
        <f>SUM(M41+M19)</f>
        <v>5520.770000000033</v>
      </c>
      <c r="O43" s="62">
        <f>O19-O41</f>
        <v>107388.78999999992</v>
      </c>
      <c r="Q43" s="62">
        <f>Q19+Q41</f>
        <v>25375.68000000008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44255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112</v>
      </c>
      <c r="J5" s="23"/>
      <c r="K5" s="23" t="s">
        <v>113</v>
      </c>
      <c r="L5" s="23"/>
      <c r="M5" s="26" t="s">
        <v>27</v>
      </c>
      <c r="O5" s="23" t="s">
        <v>112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863538.93+241420.03+8100</f>
        <v>1113058.96</v>
      </c>
      <c r="J8" s="4"/>
      <c r="K8" s="4">
        <f>738797.49+171922.57+15500</f>
        <v>926220.06</v>
      </c>
      <c r="L8" s="4"/>
      <c r="M8" s="4">
        <f aca="true" t="shared" si="0" ref="M8:M14">SUM(I8-K8)</f>
        <v>186838.8999999999</v>
      </c>
      <c r="O8" s="4">
        <f>637942.01+201831.05+18087.11</f>
        <v>857860.17</v>
      </c>
      <c r="Q8" s="4">
        <f aca="true" t="shared" si="1" ref="Q8:Q14">SUM(I8-O8)</f>
        <v>255198.78999999992</v>
      </c>
      <c r="S8" s="4"/>
      <c r="U8" s="65"/>
      <c r="X8" s="4"/>
    </row>
    <row r="9" spans="4:24" ht="12.75">
      <c r="D9" t="s">
        <v>2</v>
      </c>
      <c r="G9" s="4"/>
      <c r="I9" s="4">
        <v>3284.58</v>
      </c>
      <c r="J9" s="4"/>
      <c r="K9" s="4">
        <v>21383.69</v>
      </c>
      <c r="L9" s="4"/>
      <c r="M9" s="4">
        <f t="shared" si="0"/>
        <v>-18099.11</v>
      </c>
      <c r="O9" s="4">
        <v>17665.74</v>
      </c>
      <c r="Q9" s="4">
        <f t="shared" si="1"/>
        <v>-14381.160000000002</v>
      </c>
      <c r="S9" s="4"/>
      <c r="U9" s="65"/>
      <c r="X9" s="4"/>
    </row>
    <row r="10" spans="4:24" ht="12.75">
      <c r="D10" t="s">
        <v>3</v>
      </c>
      <c r="G10" s="4"/>
      <c r="I10" s="4">
        <v>52043.76</v>
      </c>
      <c r="J10" s="4"/>
      <c r="K10" s="4">
        <v>71115.65</v>
      </c>
      <c r="L10" s="4"/>
      <c r="M10" s="4">
        <f t="shared" si="0"/>
        <v>-19071.889999999992</v>
      </c>
      <c r="O10" s="4">
        <v>71963.56</v>
      </c>
      <c r="Q10" s="4">
        <f t="shared" si="1"/>
        <v>-19919.799999999996</v>
      </c>
      <c r="S10" s="4"/>
      <c r="U10" s="65"/>
      <c r="X10" s="4"/>
    </row>
    <row r="11" spans="4:24" ht="12.75">
      <c r="D11" t="s">
        <v>31</v>
      </c>
      <c r="G11" s="4"/>
      <c r="I11" s="4">
        <f>10048.88+32300</f>
        <v>42348.88</v>
      </c>
      <c r="J11" s="4"/>
      <c r="K11" s="4">
        <f>13161.02+38433</f>
        <v>51594.020000000004</v>
      </c>
      <c r="L11" s="4"/>
      <c r="M11" s="4">
        <f t="shared" si="0"/>
        <v>-9245.140000000007</v>
      </c>
      <c r="O11" s="4">
        <f>4521.67+41380.59</f>
        <v>45902.259999999995</v>
      </c>
      <c r="Q11" s="4">
        <f t="shared" si="1"/>
        <v>-3553.3799999999974</v>
      </c>
      <c r="S11" s="4"/>
      <c r="U11" s="65"/>
      <c r="X11" s="4"/>
    </row>
    <row r="12" spans="4:24" ht="12.75">
      <c r="D12" t="s">
        <v>30</v>
      </c>
      <c r="G12" s="4"/>
      <c r="I12" s="4">
        <v>2800.49</v>
      </c>
      <c r="J12" s="4"/>
      <c r="K12" s="4">
        <v>2857.65</v>
      </c>
      <c r="L12" s="4"/>
      <c r="M12" s="4">
        <f t="shared" si="0"/>
        <v>-57.16000000000031</v>
      </c>
      <c r="O12" s="4">
        <v>2987.58</v>
      </c>
      <c r="Q12" s="4">
        <f t="shared" si="1"/>
        <v>-187.09000000000015</v>
      </c>
      <c r="S12" s="4"/>
      <c r="U12" s="65"/>
      <c r="X12" s="4"/>
    </row>
    <row r="13" spans="4:24" ht="12.75">
      <c r="D13" t="s">
        <v>29</v>
      </c>
      <c r="G13" s="4"/>
      <c r="I13" s="4">
        <f>343.21+5071.74</f>
        <v>5414.95</v>
      </c>
      <c r="J13" s="4"/>
      <c r="K13" s="4">
        <v>27945.61</v>
      </c>
      <c r="L13" s="4"/>
      <c r="M13" s="4">
        <f t="shared" si="0"/>
        <v>-22530.66</v>
      </c>
      <c r="O13" s="4">
        <v>124242.78</v>
      </c>
      <c r="Q13" s="4">
        <f t="shared" si="1"/>
        <v>-118827.83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1218951.6199999999</v>
      </c>
      <c r="J16" s="5"/>
      <c r="K16" s="5">
        <f>SUM(K8:K14)</f>
        <v>1101116.68</v>
      </c>
      <c r="L16" s="5"/>
      <c r="M16" s="5">
        <f>SUM(M8:M14)</f>
        <v>117834.93999999992</v>
      </c>
      <c r="N16" s="5"/>
      <c r="O16" s="5">
        <f>SUM(O8:O14)</f>
        <v>1120622.0899999999</v>
      </c>
      <c r="Q16" s="5">
        <f>SUM(Q8:Q14)</f>
        <v>98329.52999999993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1218951.6199999999</v>
      </c>
      <c r="J19" s="61"/>
      <c r="K19" s="61">
        <f>K16</f>
        <v>1101116.68</v>
      </c>
      <c r="L19" s="61"/>
      <c r="M19" s="61">
        <f>M16</f>
        <v>117834.93999999992</v>
      </c>
      <c r="O19" s="61">
        <f>O16</f>
        <v>1120622.0899999999</v>
      </c>
      <c r="Q19" s="62">
        <f>SUM(I19-O19)</f>
        <v>98329.53000000003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126600</v>
      </c>
      <c r="J23" s="4"/>
      <c r="K23" s="4">
        <v>122733.04</v>
      </c>
      <c r="L23" s="4"/>
      <c r="M23" s="4">
        <f aca="true" t="shared" si="2" ref="M23:M29">SUM(K23-I23)</f>
        <v>-3866.9600000000064</v>
      </c>
      <c r="O23" s="4">
        <v>128248</v>
      </c>
      <c r="Q23" s="4">
        <f aca="true" t="shared" si="3" ref="Q23:Q29">SUM(O23-I23)</f>
        <v>1648</v>
      </c>
      <c r="S23" s="4"/>
      <c r="U23" s="65"/>
      <c r="X23" s="4"/>
    </row>
    <row r="24" spans="3:24" ht="12.75">
      <c r="C24" t="s">
        <v>9</v>
      </c>
      <c r="G24" s="4"/>
      <c r="I24" s="4">
        <f>44910.38+242830.69+1788+40812.88+37993.65</f>
        <v>368335.60000000003</v>
      </c>
      <c r="J24" s="4"/>
      <c r="K24" s="4">
        <f>45092.4+303710.48+1610.84+36767.36+46991.64</f>
        <v>434172.72000000003</v>
      </c>
      <c r="L24" s="4"/>
      <c r="M24" s="4">
        <f t="shared" si="2"/>
        <v>65837.12</v>
      </c>
      <c r="O24" s="4">
        <f>50990.41+269288.85+1771.71+40444.09+53676.17</f>
        <v>416171.23000000004</v>
      </c>
      <c r="Q24" s="4">
        <f t="shared" si="3"/>
        <v>47835.630000000005</v>
      </c>
      <c r="S24" s="4"/>
      <c r="U24" s="65"/>
      <c r="X24" s="4"/>
    </row>
    <row r="25" spans="3:24" ht="12.75">
      <c r="C25" s="3" t="s">
        <v>106</v>
      </c>
      <c r="G25" s="4"/>
      <c r="I25" s="4">
        <v>87224.61</v>
      </c>
      <c r="J25" s="4"/>
      <c r="K25" s="4">
        <v>100608.47</v>
      </c>
      <c r="L25" s="4"/>
      <c r="M25" s="4">
        <f t="shared" si="2"/>
        <v>13383.86</v>
      </c>
      <c r="O25" s="4">
        <v>91232.01</v>
      </c>
      <c r="Q25" s="4">
        <f t="shared" si="3"/>
        <v>4007.399999999994</v>
      </c>
      <c r="S25" s="4"/>
      <c r="U25" s="65"/>
      <c r="X25" s="4"/>
    </row>
    <row r="26" spans="3:24" ht="12.75">
      <c r="C26" t="s">
        <v>33</v>
      </c>
      <c r="G26" s="4"/>
      <c r="I26" s="4">
        <f>74486.69+17048.33+4950.33+7230.83</f>
        <v>103716.18000000001</v>
      </c>
      <c r="J26" s="4" t="s">
        <v>18</v>
      </c>
      <c r="K26" s="4">
        <f>20816.03+23498.83+4717.66+15272.85</f>
        <v>64305.37</v>
      </c>
      <c r="L26" s="4"/>
      <c r="M26" s="4">
        <f t="shared" si="2"/>
        <v>-39410.810000000005</v>
      </c>
      <c r="O26" s="4">
        <f>23335+26642.11+5299.95+21562.23</f>
        <v>76839.29</v>
      </c>
      <c r="Q26" s="4">
        <f t="shared" si="3"/>
        <v>-26876.890000000014</v>
      </c>
      <c r="S26" s="4"/>
      <c r="U26" s="65"/>
      <c r="X26" s="4"/>
    </row>
    <row r="27" spans="3:24" ht="12.75">
      <c r="C27" t="s">
        <v>10</v>
      </c>
      <c r="G27" s="4"/>
      <c r="I27" s="4">
        <v>28628.92</v>
      </c>
      <c r="J27" s="4"/>
      <c r="K27" s="4">
        <v>50488</v>
      </c>
      <c r="L27" s="4"/>
      <c r="M27" s="4">
        <f t="shared" si="2"/>
        <v>21859.08</v>
      </c>
      <c r="O27" s="4">
        <v>79677.14</v>
      </c>
      <c r="Q27" s="4">
        <f t="shared" si="3"/>
        <v>51048.22</v>
      </c>
      <c r="S27" s="4"/>
      <c r="U27" s="65"/>
      <c r="X27" s="4"/>
    </row>
    <row r="28" spans="3:24" ht="12.75">
      <c r="C28" t="s">
        <v>11</v>
      </c>
      <c r="G28" s="4"/>
      <c r="I28" s="4">
        <v>6443.39</v>
      </c>
      <c r="J28" s="4"/>
      <c r="K28" s="4">
        <v>8697.65</v>
      </c>
      <c r="L28" s="4"/>
      <c r="M28" s="4">
        <f t="shared" si="2"/>
        <v>2254.2599999999993</v>
      </c>
      <c r="O28" s="4">
        <v>11255.45</v>
      </c>
      <c r="Q28" s="4">
        <f t="shared" si="3"/>
        <v>4812.06</v>
      </c>
      <c r="S28" s="4"/>
      <c r="U28" s="65"/>
      <c r="X28" s="4"/>
    </row>
    <row r="29" spans="3:24" ht="12.75">
      <c r="C29" s="3" t="s">
        <v>40</v>
      </c>
      <c r="G29" s="4"/>
      <c r="I29" s="4">
        <f>42309.78+2368.36+6881.89</f>
        <v>51560.03</v>
      </c>
      <c r="J29" s="4"/>
      <c r="K29" s="4">
        <f>56896.51+2760.97+12438.49</f>
        <v>72095.97</v>
      </c>
      <c r="L29" s="4"/>
      <c r="M29" s="4">
        <f t="shared" si="2"/>
        <v>20535.940000000002</v>
      </c>
      <c r="O29" s="4">
        <f>95626.66+3658.41+15593.3</f>
        <v>114878.37000000001</v>
      </c>
      <c r="Q29" s="4">
        <f t="shared" si="3"/>
        <v>63318.34000000001</v>
      </c>
      <c r="S29" s="4"/>
      <c r="U29" s="65"/>
      <c r="X29" s="4"/>
    </row>
    <row r="30" spans="3:24" ht="12.75">
      <c r="C30" s="47" t="s">
        <v>41</v>
      </c>
      <c r="G30" s="4"/>
      <c r="I30" s="4">
        <f>20909.9+8515.26+17896.05</f>
        <v>47321.21000000001</v>
      </c>
      <c r="J30" s="4"/>
      <c r="K30" s="4">
        <f>23865.14+8851+20620.8</f>
        <v>53336.94</v>
      </c>
      <c r="L30" s="4"/>
      <c r="M30" s="4">
        <f>SUM(K30-I30)</f>
        <v>6015.729999999996</v>
      </c>
      <c r="O30" s="4">
        <f>27890.44+9307.98+25901.84</f>
        <v>63100.259999999995</v>
      </c>
      <c r="Q30" s="4">
        <f>SUM(O30-I30)</f>
        <v>15779.049999999988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819829.9400000002</v>
      </c>
      <c r="J34" s="5"/>
      <c r="K34" s="5">
        <f>SUM(K23:K32)</f>
        <v>906438.1599999999</v>
      </c>
      <c r="L34" s="5"/>
      <c r="M34" s="5">
        <f>SUM(M23:M32)</f>
        <v>86608.21999999999</v>
      </c>
      <c r="N34" s="4"/>
      <c r="O34" s="5">
        <f>SUM(O23:O32)</f>
        <v>981401.75</v>
      </c>
      <c r="Q34" s="5">
        <f>SUM(Q23:Q32)</f>
        <v>161571.81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98250</v>
      </c>
      <c r="J37" s="4"/>
      <c r="K37" s="4">
        <v>93000</v>
      </c>
      <c r="L37" s="4"/>
      <c r="M37" s="4">
        <f>SUM(K37-I37)</f>
        <v>-5250</v>
      </c>
      <c r="O37" s="4">
        <v>101250</v>
      </c>
      <c r="Q37" s="4">
        <f>SUM(O37-I37)</f>
        <v>3000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98250</v>
      </c>
      <c r="J39" s="5"/>
      <c r="K39" s="5">
        <f>SUM(K37:K37)</f>
        <v>93000</v>
      </c>
      <c r="L39" s="5"/>
      <c r="M39" s="4">
        <f>SUM(K39-I39)</f>
        <v>-5250</v>
      </c>
      <c r="N39" s="5"/>
      <c r="O39" s="5">
        <f>SUM(O37:O37)</f>
        <v>101250</v>
      </c>
      <c r="Q39" s="4">
        <f>SUM(O39-I39)</f>
        <v>3000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918079.9400000002</v>
      </c>
      <c r="J41" s="61"/>
      <c r="K41" s="61">
        <f>K34+K39</f>
        <v>999438.1599999999</v>
      </c>
      <c r="L41" s="61"/>
      <c r="M41" s="61">
        <f>M34+M39</f>
        <v>81358.21999999999</v>
      </c>
      <c r="O41" s="61">
        <f>O34+O39</f>
        <v>1082651.75</v>
      </c>
      <c r="Q41" s="61">
        <f>Q34+Q39</f>
        <v>164571.81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300871.6799999997</v>
      </c>
      <c r="J43" s="62"/>
      <c r="K43" s="62">
        <f>K19-K41</f>
        <v>101678.52000000002</v>
      </c>
      <c r="L43" s="62"/>
      <c r="M43" s="62">
        <f>SUM(M41+M19)</f>
        <v>199193.15999999992</v>
      </c>
      <c r="O43" s="62">
        <f>O19-O41</f>
        <v>37970.33999999985</v>
      </c>
      <c r="Q43" s="62">
        <f>Q19+Q41</f>
        <v>262901.34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44316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114</v>
      </c>
      <c r="J5" s="23"/>
      <c r="K5" s="23" t="s">
        <v>104</v>
      </c>
      <c r="L5" s="23"/>
      <c r="M5" s="26" t="s">
        <v>27</v>
      </c>
      <c r="O5" s="23" t="s">
        <v>114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1033759.39+317449.53+12450</f>
        <v>1363658.92</v>
      </c>
      <c r="J8" s="4"/>
      <c r="K8" s="4">
        <f>879274.21+236479.59+17850</f>
        <v>1133603.8</v>
      </c>
      <c r="L8" s="4"/>
      <c r="M8" s="4">
        <f aca="true" t="shared" si="0" ref="M8:M14">SUM(I8-K8)</f>
        <v>230055.11999999988</v>
      </c>
      <c r="O8" s="4">
        <f>756787.48+277529.66+20837.98</f>
        <v>1055155.1199999999</v>
      </c>
      <c r="Q8" s="4">
        <f aca="true" t="shared" si="1" ref="Q8:Q14">SUM(I8-O8)</f>
        <v>308503.80000000005</v>
      </c>
      <c r="S8" s="4"/>
      <c r="U8" s="65"/>
      <c r="X8" s="4"/>
    </row>
    <row r="9" spans="4:24" ht="12.75">
      <c r="D9" t="s">
        <v>2</v>
      </c>
      <c r="G9" s="4"/>
      <c r="I9" s="4">
        <v>15650.18</v>
      </c>
      <c r="J9" s="4"/>
      <c r="K9" s="4">
        <v>30192.23</v>
      </c>
      <c r="L9" s="4"/>
      <c r="M9" s="4">
        <f t="shared" si="0"/>
        <v>-14542.05</v>
      </c>
      <c r="O9" s="4">
        <v>27744.34</v>
      </c>
      <c r="Q9" s="4">
        <f t="shared" si="1"/>
        <v>-12094.16</v>
      </c>
      <c r="S9" s="4"/>
      <c r="U9" s="65"/>
      <c r="X9" s="4"/>
    </row>
    <row r="10" spans="4:24" ht="12.75">
      <c r="D10" t="s">
        <v>3</v>
      </c>
      <c r="G10" s="4"/>
      <c r="I10" s="4">
        <v>52978.76</v>
      </c>
      <c r="J10" s="4"/>
      <c r="K10" s="4">
        <v>72683.65</v>
      </c>
      <c r="L10" s="4"/>
      <c r="M10" s="4">
        <f t="shared" si="0"/>
        <v>-19704.889999999992</v>
      </c>
      <c r="O10" s="4">
        <v>77274.31</v>
      </c>
      <c r="Q10" s="4">
        <f t="shared" si="1"/>
        <v>-24295.549999999996</v>
      </c>
      <c r="S10" s="4"/>
      <c r="U10" s="65"/>
      <c r="X10" s="4"/>
    </row>
    <row r="11" spans="4:24" ht="12.75">
      <c r="D11" t="s">
        <v>31</v>
      </c>
      <c r="G11" s="4"/>
      <c r="I11" s="4">
        <f>10392.28+40075</f>
        <v>50467.28</v>
      </c>
      <c r="J11" s="4"/>
      <c r="K11" s="4">
        <f>13936.61+42883</f>
        <v>56819.61</v>
      </c>
      <c r="L11" s="4"/>
      <c r="M11" s="4">
        <f t="shared" si="0"/>
        <v>-6352.330000000002</v>
      </c>
      <c r="O11" s="4">
        <f>5652.09+46038</f>
        <v>51690.09</v>
      </c>
      <c r="Q11" s="4">
        <f t="shared" si="1"/>
        <v>-1222.8099999999977</v>
      </c>
      <c r="S11" s="4"/>
      <c r="U11" s="65"/>
      <c r="X11" s="4"/>
    </row>
    <row r="12" spans="4:24" ht="12.75">
      <c r="D12" t="s">
        <v>30</v>
      </c>
      <c r="G12" s="4"/>
      <c r="I12" s="4">
        <v>3594.04</v>
      </c>
      <c r="J12" s="4"/>
      <c r="K12" s="4">
        <v>3678.22</v>
      </c>
      <c r="L12" s="4"/>
      <c r="M12" s="4">
        <f t="shared" si="0"/>
        <v>-84.17999999999984</v>
      </c>
      <c r="O12" s="4">
        <v>3776.75</v>
      </c>
      <c r="Q12" s="4">
        <f t="shared" si="1"/>
        <v>-182.71000000000004</v>
      </c>
      <c r="S12" s="4"/>
      <c r="U12" s="65"/>
      <c r="X12" s="4"/>
    </row>
    <row r="13" spans="4:24" ht="12.75">
      <c r="D13" t="s">
        <v>29</v>
      </c>
      <c r="G13" s="4"/>
      <c r="I13" s="4">
        <f>343.12+7340.53</f>
        <v>7683.65</v>
      </c>
      <c r="J13" s="4"/>
      <c r="K13" s="4">
        <v>7916.73</v>
      </c>
      <c r="L13" s="4"/>
      <c r="M13" s="4">
        <f t="shared" si="0"/>
        <v>-233.07999999999993</v>
      </c>
      <c r="O13" s="4">
        <v>128002.44</v>
      </c>
      <c r="Q13" s="4">
        <f t="shared" si="1"/>
        <v>-120318.79000000001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1494032.8299999998</v>
      </c>
      <c r="J16" s="5"/>
      <c r="K16" s="5">
        <f>SUM(K8:K14)</f>
        <v>1304894.24</v>
      </c>
      <c r="L16" s="5"/>
      <c r="M16" s="5">
        <f>SUM(M8:M14)</f>
        <v>189138.58999999994</v>
      </c>
      <c r="N16" s="5"/>
      <c r="O16" s="5">
        <f>SUM(O8:O14)</f>
        <v>1343643.05</v>
      </c>
      <c r="Q16" s="5">
        <f>SUM(Q8:Q14)</f>
        <v>150389.78000000006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1494032.8299999998</v>
      </c>
      <c r="J19" s="61"/>
      <c r="K19" s="61">
        <f>K16</f>
        <v>1304894.24</v>
      </c>
      <c r="L19" s="61"/>
      <c r="M19" s="61">
        <f>M16</f>
        <v>189138.58999999994</v>
      </c>
      <c r="O19" s="61">
        <f>O16</f>
        <v>1343643.05</v>
      </c>
      <c r="Q19" s="62">
        <f>SUM(I19-O19)</f>
        <v>150389.7799999998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158250</v>
      </c>
      <c r="J23" s="4"/>
      <c r="K23" s="4">
        <v>153416.3</v>
      </c>
      <c r="L23" s="4"/>
      <c r="M23" s="4">
        <f aca="true" t="shared" si="2" ref="M23:M29">SUM(K23-I23)</f>
        <v>-4833.700000000012</v>
      </c>
      <c r="O23" s="4">
        <v>160310</v>
      </c>
      <c r="Q23" s="4">
        <f aca="true" t="shared" si="3" ref="Q23:Q29">SUM(O23-I23)</f>
        <v>2060</v>
      </c>
      <c r="S23" s="4"/>
      <c r="U23" s="65"/>
      <c r="X23" s="4"/>
    </row>
    <row r="24" spans="3:24" ht="12.75">
      <c r="C24" t="s">
        <v>9</v>
      </c>
      <c r="G24" s="4"/>
      <c r="I24" s="4">
        <f>56173+292031.81+2235+51016.1+49156.02</f>
        <v>450611.93</v>
      </c>
      <c r="J24" s="4"/>
      <c r="K24" s="4">
        <f>52424.66+383301.39+2013.3+45959.2+57564.32</f>
        <v>541262.87</v>
      </c>
      <c r="L24" s="4"/>
      <c r="M24" s="4">
        <f t="shared" si="2"/>
        <v>90650.94</v>
      </c>
      <c r="O24" s="4">
        <f>58905.03+338817.31+2214.63+50555.12+65280.25</f>
        <v>515772.33999999997</v>
      </c>
      <c r="Q24" s="4">
        <f t="shared" si="3"/>
        <v>65160.409999999974</v>
      </c>
      <c r="S24" s="4"/>
      <c r="U24" s="65"/>
      <c r="X24" s="4"/>
    </row>
    <row r="25" spans="3:24" ht="12.75">
      <c r="C25" s="3" t="s">
        <v>106</v>
      </c>
      <c r="G25" s="4"/>
      <c r="I25" s="4">
        <v>106673.13</v>
      </c>
      <c r="J25" s="4"/>
      <c r="K25" s="4">
        <v>124068.96</v>
      </c>
      <c r="L25" s="4"/>
      <c r="M25" s="4">
        <f t="shared" si="2"/>
        <v>17395.83</v>
      </c>
      <c r="O25" s="4">
        <v>111885.54</v>
      </c>
      <c r="Q25" s="4">
        <f t="shared" si="3"/>
        <v>5212.409999999989</v>
      </c>
      <c r="S25" s="4"/>
      <c r="U25" s="65"/>
      <c r="X25" s="4"/>
    </row>
    <row r="26" spans="3:24" ht="12.75">
      <c r="C26" t="s">
        <v>33</v>
      </c>
      <c r="G26" s="4"/>
      <c r="I26" s="4">
        <f>95124.02+18846.15+5780.66+10521.46</f>
        <v>130272.29000000001</v>
      </c>
      <c r="J26" s="4" t="s">
        <v>18</v>
      </c>
      <c r="K26" s="4">
        <f>39010.48+28282.06+5788.21+19914.06</f>
        <v>92994.81000000001</v>
      </c>
      <c r="L26" s="4"/>
      <c r="M26" s="4">
        <f t="shared" si="2"/>
        <v>-37277.479999999996</v>
      </c>
      <c r="O26" s="4">
        <f>82273.66+31154.44+6457.94+28662.36</f>
        <v>148548.40000000002</v>
      </c>
      <c r="Q26" s="4">
        <f t="shared" si="3"/>
        <v>18276.110000000015</v>
      </c>
      <c r="S26" s="4"/>
      <c r="U26" s="65"/>
      <c r="X26" s="4"/>
    </row>
    <row r="27" spans="3:24" ht="12.75">
      <c r="C27" t="s">
        <v>10</v>
      </c>
      <c r="G27" s="4"/>
      <c r="I27" s="4">
        <v>34714.09</v>
      </c>
      <c r="J27" s="4"/>
      <c r="K27" s="4">
        <v>58311.66</v>
      </c>
      <c r="L27" s="4"/>
      <c r="M27" s="4">
        <f t="shared" si="2"/>
        <v>23597.570000000007</v>
      </c>
      <c r="O27" s="4">
        <v>98627.16</v>
      </c>
      <c r="Q27" s="4">
        <f t="shared" si="3"/>
        <v>63913.07000000001</v>
      </c>
      <c r="S27" s="4"/>
      <c r="U27" s="65"/>
      <c r="X27" s="4"/>
    </row>
    <row r="28" spans="3:24" ht="12.75">
      <c r="C28" t="s">
        <v>11</v>
      </c>
      <c r="G28" s="4"/>
      <c r="I28" s="4">
        <v>8201.38</v>
      </c>
      <c r="J28" s="4"/>
      <c r="K28" s="4">
        <v>10837.99</v>
      </c>
      <c r="L28" s="4"/>
      <c r="M28" s="4">
        <f t="shared" si="2"/>
        <v>2636.6100000000006</v>
      </c>
      <c r="O28" s="4">
        <v>14006.73</v>
      </c>
      <c r="Q28" s="4">
        <f t="shared" si="3"/>
        <v>5805.35</v>
      </c>
      <c r="S28" s="4"/>
      <c r="U28" s="65"/>
      <c r="X28" s="4"/>
    </row>
    <row r="29" spans="3:24" ht="12.75">
      <c r="C29" s="3" t="s">
        <v>40</v>
      </c>
      <c r="G29" s="4"/>
      <c r="I29" s="4">
        <f>78087.77+5874.2+10202.49</f>
        <v>94164.46</v>
      </c>
      <c r="J29" s="4"/>
      <c r="K29" s="4">
        <f>61880.11+3694.9+13962.47</f>
        <v>79537.48</v>
      </c>
      <c r="L29" s="4"/>
      <c r="M29" s="4">
        <f t="shared" si="2"/>
        <v>-14626.98000000001</v>
      </c>
      <c r="O29" s="4">
        <f>101494.17+4700.11+15989.34</f>
        <v>122183.62</v>
      </c>
      <c r="Q29" s="4">
        <f t="shared" si="3"/>
        <v>28019.15999999999</v>
      </c>
      <c r="S29" s="4"/>
      <c r="U29" s="65"/>
      <c r="X29" s="4"/>
    </row>
    <row r="30" spans="3:24" ht="12.75">
      <c r="C30" s="47" t="s">
        <v>41</v>
      </c>
      <c r="G30" s="4"/>
      <c r="I30" s="4">
        <f>28183.55+11051.24+23922.94</f>
        <v>63157.729999999996</v>
      </c>
      <c r="J30" s="4"/>
      <c r="K30" s="4">
        <f>29859.47+11048.86+25432.52</f>
        <v>66340.85</v>
      </c>
      <c r="L30" s="4"/>
      <c r="M30" s="4">
        <f>SUM(K30-I30)</f>
        <v>3183.12000000001</v>
      </c>
      <c r="O30" s="4">
        <f>34843.36+11607.84+31935.2</f>
        <v>78386.4</v>
      </c>
      <c r="Q30" s="4">
        <f>SUM(O30-I30)</f>
        <v>15228.669999999998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1046045.0099999999</v>
      </c>
      <c r="J34" s="5"/>
      <c r="K34" s="5">
        <f>SUM(K23:K32)</f>
        <v>1151817.9200000002</v>
      </c>
      <c r="L34" s="5"/>
      <c r="M34" s="5">
        <f>SUM(M23:M32)</f>
        <v>105772.91</v>
      </c>
      <c r="N34" s="4"/>
      <c r="O34" s="5">
        <f>SUM(O23:O32)</f>
        <v>1249720.19</v>
      </c>
      <c r="Q34" s="5">
        <f>SUM(Q23:Q32)</f>
        <v>203675.18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1177045.0099999998</v>
      </c>
      <c r="J41" s="61"/>
      <c r="K41" s="61">
        <f>K34+K39</f>
        <v>1275817.9200000002</v>
      </c>
      <c r="L41" s="61"/>
      <c r="M41" s="61">
        <f>M34+M39</f>
        <v>98772.91</v>
      </c>
      <c r="O41" s="61">
        <f>O34+O39</f>
        <v>1384720.19</v>
      </c>
      <c r="Q41" s="61">
        <f>Q34+Q39</f>
        <v>207675.18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316987.82000000007</v>
      </c>
      <c r="J43" s="62"/>
      <c r="K43" s="62">
        <f>K19-K41</f>
        <v>29076.319999999832</v>
      </c>
      <c r="L43" s="62"/>
      <c r="M43" s="62">
        <f>SUM(M41+M19)</f>
        <v>287911.49999999994</v>
      </c>
      <c r="O43" s="62">
        <f>O19-O41</f>
        <v>-41077.1399999999</v>
      </c>
      <c r="Q43" s="62">
        <f>Q19+Q41</f>
        <v>358064.9599999998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3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44377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115</v>
      </c>
      <c r="J5" s="23"/>
      <c r="K5" s="23" t="s">
        <v>105</v>
      </c>
      <c r="L5" s="23"/>
      <c r="M5" s="26" t="s">
        <v>27</v>
      </c>
      <c r="O5" s="23" t="s">
        <v>115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1223286.33+342363.98+14890</f>
        <v>1580540.31</v>
      </c>
      <c r="J8" s="4"/>
      <c r="K8" s="4">
        <f>1031305.39+258506.44+18950</f>
        <v>1308761.83</v>
      </c>
      <c r="L8" s="4"/>
      <c r="M8" s="4">
        <f aca="true" t="shared" si="0" ref="M8:M14">SUM(I8-K8)</f>
        <v>271778.48</v>
      </c>
      <c r="O8" s="4">
        <f>886556.98+299973.32+22134</f>
        <v>1208664.3</v>
      </c>
      <c r="Q8" s="4">
        <f aca="true" t="shared" si="1" ref="Q8:Q14">SUM(I8-O8)</f>
        <v>371876.01</v>
      </c>
      <c r="S8" s="4"/>
      <c r="U8" s="65"/>
      <c r="X8" s="4"/>
    </row>
    <row r="9" spans="4:24" ht="12.75">
      <c r="D9" t="s">
        <v>2</v>
      </c>
      <c r="G9" s="4"/>
      <c r="I9" s="4">
        <v>50424.42</v>
      </c>
      <c r="J9" s="4"/>
      <c r="K9" s="4">
        <v>44899.22</v>
      </c>
      <c r="L9" s="4"/>
      <c r="M9" s="4">
        <f t="shared" si="0"/>
        <v>5525.199999999997</v>
      </c>
      <c r="O9" s="4">
        <v>49341.72</v>
      </c>
      <c r="Q9" s="4">
        <f t="shared" si="1"/>
        <v>1082.699999999997</v>
      </c>
      <c r="S9" s="4"/>
      <c r="U9" s="65"/>
      <c r="X9" s="4"/>
    </row>
    <row r="10" spans="4:24" ht="12.75">
      <c r="D10" t="s">
        <v>3</v>
      </c>
      <c r="G10" s="4"/>
      <c r="I10" s="4">
        <v>54189.76</v>
      </c>
      <c r="J10" s="4"/>
      <c r="K10" s="4">
        <v>72856.68</v>
      </c>
      <c r="L10" s="4"/>
      <c r="M10" s="4">
        <f t="shared" si="0"/>
        <v>-18666.91999999999</v>
      </c>
      <c r="O10" s="4">
        <v>82470.5</v>
      </c>
      <c r="Q10" s="4">
        <f t="shared" si="1"/>
        <v>-28280.739999999998</v>
      </c>
      <c r="S10" s="4"/>
      <c r="U10" s="65"/>
      <c r="X10" s="4"/>
    </row>
    <row r="11" spans="4:24" ht="12.75">
      <c r="D11" t="s">
        <v>31</v>
      </c>
      <c r="G11" s="4"/>
      <c r="I11" s="4">
        <f>10632.71+47625</f>
        <v>58257.71</v>
      </c>
      <c r="J11" s="4"/>
      <c r="K11" s="4">
        <f>21620.96+54883</f>
        <v>76503.95999999999</v>
      </c>
      <c r="L11" s="4"/>
      <c r="M11" s="4">
        <f t="shared" si="0"/>
        <v>-18246.249999999993</v>
      </c>
      <c r="O11" s="4">
        <f>6782.51+58038</f>
        <v>64820.51</v>
      </c>
      <c r="Q11" s="4">
        <f t="shared" si="1"/>
        <v>-6562.800000000003</v>
      </c>
      <c r="S11" s="4"/>
      <c r="U11" s="65"/>
      <c r="X11" s="4"/>
    </row>
    <row r="12" spans="4:24" ht="12.75">
      <c r="D12" t="s">
        <v>30</v>
      </c>
      <c r="G12" s="4"/>
      <c r="I12" s="4">
        <v>8246.12</v>
      </c>
      <c r="J12" s="4"/>
      <c r="K12" s="4">
        <v>12392.86</v>
      </c>
      <c r="L12" s="4"/>
      <c r="M12" s="4">
        <f t="shared" si="0"/>
        <v>-4146.74</v>
      </c>
      <c r="O12" s="4">
        <v>12520.67</v>
      </c>
      <c r="Q12" s="4">
        <f t="shared" si="1"/>
        <v>-4274.549999999999</v>
      </c>
      <c r="S12" s="4"/>
      <c r="U12" s="65"/>
      <c r="X12" s="4"/>
    </row>
    <row r="13" spans="4:24" ht="12.75">
      <c r="D13" t="s">
        <v>29</v>
      </c>
      <c r="G13" s="4"/>
      <c r="I13" s="4">
        <f>343.21+154746.88</f>
        <v>155090.09</v>
      </c>
      <c r="J13" s="4"/>
      <c r="K13" s="4">
        <v>35383.51</v>
      </c>
      <c r="L13" s="4"/>
      <c r="M13" s="4">
        <f t="shared" si="0"/>
        <v>119706.57999999999</v>
      </c>
      <c r="O13" s="4">
        <v>156929</v>
      </c>
      <c r="Q13" s="4">
        <f t="shared" si="1"/>
        <v>-1838.9100000000035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1906748.4100000001</v>
      </c>
      <c r="J16" s="5"/>
      <c r="K16" s="5">
        <f>SUM(K8:K14)</f>
        <v>1550798.06</v>
      </c>
      <c r="L16" s="5"/>
      <c r="M16" s="5">
        <f>SUM(M8:M14)</f>
        <v>355950.35</v>
      </c>
      <c r="N16" s="5"/>
      <c r="O16" s="5">
        <f>SUM(O8:O14)</f>
        <v>1574746.7</v>
      </c>
      <c r="Q16" s="5">
        <f>SUM(Q8:Q14)</f>
        <v>332001.7100000001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1906748.4100000001</v>
      </c>
      <c r="J19" s="61"/>
      <c r="K19" s="61">
        <f>K16</f>
        <v>1550798.06</v>
      </c>
      <c r="L19" s="61"/>
      <c r="M19" s="61">
        <f>M16</f>
        <v>355950.35</v>
      </c>
      <c r="O19" s="61">
        <f>O16</f>
        <v>1574746.7</v>
      </c>
      <c r="Q19" s="62">
        <f>SUM(I19-O19)</f>
        <v>332001.7100000002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189900</v>
      </c>
      <c r="J23" s="4"/>
      <c r="K23" s="4">
        <v>184099.56</v>
      </c>
      <c r="L23" s="4"/>
      <c r="M23" s="4">
        <f aca="true" t="shared" si="2" ref="M23:M29">SUM(K23-I23)</f>
        <v>-5800.440000000002</v>
      </c>
      <c r="O23" s="4">
        <v>192372</v>
      </c>
      <c r="Q23" s="4">
        <f aca="true" t="shared" si="3" ref="Q23:Q29">SUM(O23-I23)</f>
        <v>2472</v>
      </c>
      <c r="S23" s="4"/>
      <c r="U23" s="65"/>
      <c r="X23" s="4"/>
    </row>
    <row r="24" spans="3:24" ht="12.75">
      <c r="C24" t="s">
        <v>9</v>
      </c>
      <c r="G24" s="4"/>
      <c r="I24" s="4">
        <f>67115.62+340063.14+2682+61219.32+51521.91</f>
        <v>522601.99</v>
      </c>
      <c r="J24" s="4"/>
      <c r="K24" s="4">
        <f>58751.08+437453.43+2415.96+55151.04+59871.12</f>
        <v>613642.63</v>
      </c>
      <c r="L24" s="4"/>
      <c r="M24" s="4">
        <f t="shared" si="2"/>
        <v>91040.64000000001</v>
      </c>
      <c r="O24" s="4">
        <f>65773+386751+2657.56+60666.14+67617.65</f>
        <v>583465.35</v>
      </c>
      <c r="Q24" s="4">
        <f t="shared" si="3"/>
        <v>60863.359999999986</v>
      </c>
      <c r="S24" s="4"/>
      <c r="U24" s="65"/>
      <c r="X24" s="4"/>
    </row>
    <row r="25" spans="3:24" ht="12.75">
      <c r="C25" s="3" t="s">
        <v>106</v>
      </c>
      <c r="G25" s="4"/>
      <c r="I25" s="4">
        <v>122763.99</v>
      </c>
      <c r="J25" s="4"/>
      <c r="K25" s="4">
        <v>144193.37</v>
      </c>
      <c r="L25" s="4"/>
      <c r="M25" s="4">
        <f t="shared" si="2"/>
        <v>21429.37999999999</v>
      </c>
      <c r="O25" s="4">
        <v>129676.23</v>
      </c>
      <c r="Q25" s="4">
        <f t="shared" si="3"/>
        <v>6912.239999999991</v>
      </c>
      <c r="S25" s="4"/>
      <c r="U25" s="65"/>
      <c r="X25" s="4"/>
    </row>
    <row r="26" spans="3:24" ht="12.75">
      <c r="C26" t="s">
        <v>33</v>
      </c>
      <c r="G26" s="4"/>
      <c r="I26" s="4">
        <f>116003.35+19435.77+6843.66+13412.36</f>
        <v>155695.14</v>
      </c>
      <c r="J26" s="4" t="s">
        <v>18</v>
      </c>
      <c r="K26" s="4">
        <f>62070.04+29697.55+7037.43+20968.88</f>
        <v>119773.9</v>
      </c>
      <c r="L26" s="4"/>
      <c r="M26" s="4">
        <f t="shared" si="2"/>
        <v>-35921.24000000002</v>
      </c>
      <c r="O26" s="4">
        <f>116810.22+32453.21+7218.02+30115.17</f>
        <v>186596.62</v>
      </c>
      <c r="Q26" s="4">
        <f t="shared" si="3"/>
        <v>30901.47999999998</v>
      </c>
      <c r="S26" s="4"/>
      <c r="U26" s="65"/>
      <c r="X26" s="4"/>
    </row>
    <row r="27" spans="3:24" ht="12.75">
      <c r="C27" t="s">
        <v>10</v>
      </c>
      <c r="G27" s="4"/>
      <c r="I27" s="4">
        <v>40800.4</v>
      </c>
      <c r="J27" s="4"/>
      <c r="K27" s="4">
        <v>60371.82</v>
      </c>
      <c r="L27" s="4"/>
      <c r="M27" s="4">
        <f t="shared" si="2"/>
        <v>19571.42</v>
      </c>
      <c r="O27" s="4">
        <v>101746.45</v>
      </c>
      <c r="Q27" s="4">
        <f t="shared" si="3"/>
        <v>60946.049999999996</v>
      </c>
      <c r="S27" s="4"/>
      <c r="U27" s="65"/>
      <c r="X27" s="4"/>
    </row>
    <row r="28" spans="3:24" ht="12.75">
      <c r="C28" t="s">
        <v>11</v>
      </c>
      <c r="G28" s="4"/>
      <c r="I28" s="4">
        <v>9635.48</v>
      </c>
      <c r="J28" s="4"/>
      <c r="K28" s="4">
        <v>12207.79</v>
      </c>
      <c r="L28" s="4"/>
      <c r="M28" s="4">
        <f t="shared" si="2"/>
        <v>2572.3100000000013</v>
      </c>
      <c r="O28" s="4">
        <v>15740.21</v>
      </c>
      <c r="Q28" s="4">
        <f t="shared" si="3"/>
        <v>6104.73</v>
      </c>
      <c r="S28" s="4"/>
      <c r="U28" s="65"/>
      <c r="X28" s="4"/>
    </row>
    <row r="29" spans="3:24" ht="12.75">
      <c r="C29" s="3" t="s">
        <v>40</v>
      </c>
      <c r="G29" s="4"/>
      <c r="I29" s="4">
        <f>82280.04+6314.08+12082.89</f>
        <v>100677.01</v>
      </c>
      <c r="J29" s="4"/>
      <c r="K29" s="4">
        <f>71290.85+4106.35+18773.01</f>
        <v>94170.21</v>
      </c>
      <c r="L29" s="4"/>
      <c r="M29" s="4">
        <f t="shared" si="2"/>
        <v>-6506.799999999988</v>
      </c>
      <c r="O29" s="4">
        <f>116280.54+9224.29+16741.81</f>
        <v>142246.63999999998</v>
      </c>
      <c r="Q29" s="4">
        <f t="shared" si="3"/>
        <v>41569.62999999999</v>
      </c>
      <c r="S29" s="4"/>
      <c r="U29" s="65"/>
      <c r="X29" s="4"/>
    </row>
    <row r="30" spans="3:24" ht="12.75">
      <c r="C30" s="47" t="s">
        <v>41</v>
      </c>
      <c r="G30" s="4"/>
      <c r="I30" s="4">
        <f>33503.98+13694.82+27824.74</f>
        <v>75023.54000000001</v>
      </c>
      <c r="J30" s="4"/>
      <c r="K30" s="4">
        <f>31328.48+12032.57+26223.06</f>
        <v>69584.11</v>
      </c>
      <c r="L30" s="4"/>
      <c r="M30" s="4">
        <f>SUM(K30-I30)</f>
        <v>-5439.430000000008</v>
      </c>
      <c r="O30" s="4">
        <f>36417.68+12636.62+32796</f>
        <v>81850.3</v>
      </c>
      <c r="Q30" s="4">
        <f>SUM(O30-I30)</f>
        <v>6826.759999999995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1217097.55</v>
      </c>
      <c r="J34" s="5"/>
      <c r="K34" s="5">
        <f>SUM(K23:K32)</f>
        <v>1323090.3900000001</v>
      </c>
      <c r="L34" s="5"/>
      <c r="M34" s="5">
        <f>SUM(M23:M32)</f>
        <v>105992.83999999998</v>
      </c>
      <c r="N34" s="4"/>
      <c r="O34" s="5">
        <f>SUM(O23:O32)</f>
        <v>1433693.7999999998</v>
      </c>
      <c r="Q34" s="5">
        <f>SUM(Q23:Q32)</f>
        <v>216596.24999999994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1348097.55</v>
      </c>
      <c r="J41" s="61"/>
      <c r="K41" s="61">
        <f>K34+K39</f>
        <v>1447090.3900000001</v>
      </c>
      <c r="L41" s="61"/>
      <c r="M41" s="61">
        <f>M34+M39</f>
        <v>98992.83999999998</v>
      </c>
      <c r="O41" s="61">
        <f>O34+O39</f>
        <v>1568693.7999999998</v>
      </c>
      <c r="Q41" s="61">
        <f>Q34+Q39</f>
        <v>220596.24999999994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558650.8600000001</v>
      </c>
      <c r="J43" s="62"/>
      <c r="K43" s="62">
        <f>K19-K41</f>
        <v>103707.66999999993</v>
      </c>
      <c r="L43" s="62"/>
      <c r="M43" s="62">
        <f>SUM(M41+M19)</f>
        <v>454943.18999999994</v>
      </c>
      <c r="O43" s="62">
        <f>O19-O41</f>
        <v>6052.90000000014</v>
      </c>
      <c r="Q43" s="62">
        <f>Q19+Q41</f>
        <v>552597.9600000002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S51" sqref="S5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44439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116</v>
      </c>
      <c r="J5" s="23"/>
      <c r="K5" s="23" t="s">
        <v>117</v>
      </c>
      <c r="L5" s="23"/>
      <c r="M5" s="26" t="s">
        <v>27</v>
      </c>
      <c r="O5" s="23" t="s">
        <v>116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180336.21+21032.35+4400</f>
        <v>205768.56</v>
      </c>
      <c r="J8" s="4"/>
      <c r="K8" s="4">
        <f>183872.18+52096.66+1950</f>
        <v>237918.84</v>
      </c>
      <c r="L8" s="4"/>
      <c r="M8" s="4">
        <f aca="true" t="shared" si="0" ref="M8:M14">SUM(I8-K8)</f>
        <v>-32150.28</v>
      </c>
      <c r="O8" s="4">
        <f>161305.75+38348.35+1600.7</f>
        <v>201254.80000000002</v>
      </c>
      <c r="Q8" s="4">
        <f aca="true" t="shared" si="1" ref="Q8:Q14">SUM(I8-O8)</f>
        <v>4513.75999999998</v>
      </c>
      <c r="S8" s="4"/>
      <c r="U8" s="65"/>
      <c r="X8" s="4"/>
    </row>
    <row r="9" spans="4:24" ht="12.75">
      <c r="D9" t="s">
        <v>2</v>
      </c>
      <c r="G9" s="4"/>
      <c r="I9" s="4">
        <v>12498.46</v>
      </c>
      <c r="J9" s="4"/>
      <c r="K9" s="4">
        <v>439.62</v>
      </c>
      <c r="L9" s="4"/>
      <c r="M9" s="4">
        <f t="shared" si="0"/>
        <v>12058.839999999998</v>
      </c>
      <c r="O9" s="4">
        <v>-1832.5</v>
      </c>
      <c r="Q9" s="4">
        <f t="shared" si="1"/>
        <v>14330.96</v>
      </c>
      <c r="S9" s="4"/>
      <c r="U9" s="65"/>
      <c r="X9" s="4"/>
    </row>
    <row r="10" spans="4:24" ht="12.75">
      <c r="D10" t="s">
        <v>3</v>
      </c>
      <c r="G10" s="4"/>
      <c r="I10" s="4">
        <v>34567</v>
      </c>
      <c r="J10" s="4"/>
      <c r="K10" s="4">
        <v>25426.81</v>
      </c>
      <c r="L10" s="4"/>
      <c r="M10" s="4">
        <f t="shared" si="0"/>
        <v>9140.189999999999</v>
      </c>
      <c r="O10" s="4">
        <v>32724.12</v>
      </c>
      <c r="Q10" s="4">
        <f t="shared" si="1"/>
        <v>1842.880000000001</v>
      </c>
      <c r="S10" s="4"/>
      <c r="U10" s="65"/>
      <c r="X10" s="4"/>
    </row>
    <row r="11" spans="4:24" ht="12.75">
      <c r="D11" t="s">
        <v>31</v>
      </c>
      <c r="G11" s="4"/>
      <c r="I11" s="4">
        <f>59.04+18000</f>
        <v>18059.04</v>
      </c>
      <c r="J11" s="4"/>
      <c r="K11" s="4">
        <f>576.13+8000</f>
        <v>8576.13</v>
      </c>
      <c r="L11" s="4"/>
      <c r="M11" s="4">
        <f t="shared" si="0"/>
        <v>9482.910000000002</v>
      </c>
      <c r="O11" s="4">
        <f>27.09+18833.33</f>
        <v>18860.420000000002</v>
      </c>
      <c r="Q11" s="4">
        <f t="shared" si="1"/>
        <v>-801.380000000001</v>
      </c>
      <c r="S11" s="4"/>
      <c r="U11" s="65"/>
      <c r="X11" s="4"/>
    </row>
    <row r="12" spans="4:24" ht="12.75">
      <c r="D12" t="s">
        <v>30</v>
      </c>
      <c r="G12" s="4"/>
      <c r="I12" s="4">
        <v>712.77</v>
      </c>
      <c r="J12" s="4"/>
      <c r="K12" s="4">
        <v>704.06</v>
      </c>
      <c r="L12" s="4"/>
      <c r="M12" s="4">
        <f t="shared" si="0"/>
        <v>8.710000000000036</v>
      </c>
      <c r="O12" s="4">
        <v>712.03</v>
      </c>
      <c r="Q12" s="4">
        <f t="shared" si="1"/>
        <v>0.7400000000000091</v>
      </c>
      <c r="S12" s="4"/>
      <c r="U12" s="65"/>
      <c r="X12" s="4"/>
    </row>
    <row r="13" spans="4:24" ht="12.75">
      <c r="D13" t="s">
        <v>29</v>
      </c>
      <c r="G13" s="4"/>
      <c r="I13" s="4">
        <v>1264</v>
      </c>
      <c r="J13" s="4"/>
      <c r="K13" s="4">
        <v>343.21</v>
      </c>
      <c r="L13" s="4"/>
      <c r="M13" s="4">
        <f t="shared" si="0"/>
        <v>920.79</v>
      </c>
      <c r="O13" s="4">
        <v>0</v>
      </c>
      <c r="Q13" s="4">
        <f t="shared" si="1"/>
        <v>1264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272869.83</v>
      </c>
      <c r="J16" s="5"/>
      <c r="K16" s="5">
        <f>SUM(K8:K14)</f>
        <v>273408.67000000004</v>
      </c>
      <c r="L16" s="5"/>
      <c r="M16" s="5">
        <f>SUM(M8:M14)</f>
        <v>-538.840000000002</v>
      </c>
      <c r="N16" s="5"/>
      <c r="O16" s="5">
        <f>SUM(O8:O14)</f>
        <v>251718.87000000002</v>
      </c>
      <c r="Q16" s="5">
        <f>SUM(Q8:Q14)</f>
        <v>21150.95999999998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272869.83</v>
      </c>
      <c r="J19" s="61"/>
      <c r="K19" s="61">
        <f>K16</f>
        <v>273408.67000000004</v>
      </c>
      <c r="L19" s="61"/>
      <c r="M19" s="61">
        <f>M16</f>
        <v>-538.840000000002</v>
      </c>
      <c r="O19" s="61">
        <f>O16</f>
        <v>251718.87000000002</v>
      </c>
      <c r="Q19" s="62">
        <f>SUM(I19-O19)</f>
        <v>21150.959999999992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28816.66</v>
      </c>
      <c r="J23" s="4"/>
      <c r="K23" s="4">
        <v>31650</v>
      </c>
      <c r="L23" s="4"/>
      <c r="M23" s="4">
        <f aca="true" t="shared" si="2" ref="M23:M29">SUM(K23-I23)</f>
        <v>2833.34</v>
      </c>
      <c r="O23" s="4">
        <v>29198</v>
      </c>
      <c r="Q23" s="4">
        <f aca="true" t="shared" si="3" ref="Q23:Q29">SUM(O23-I23)</f>
        <v>381.34000000000015</v>
      </c>
      <c r="S23" s="4"/>
      <c r="U23" s="65"/>
      <c r="X23" s="4"/>
    </row>
    <row r="24" spans="3:24" ht="12.75">
      <c r="C24" t="s">
        <v>9</v>
      </c>
      <c r="G24" s="4"/>
      <c r="I24" s="4">
        <f>10577.62+68814.13+469.34+11045+2055.79</f>
        <v>92961.87999999999</v>
      </c>
      <c r="J24" s="4"/>
      <c r="K24" s="4">
        <f>8336.42+69637.08+447+10203.22+1030.33</f>
        <v>89654.05</v>
      </c>
      <c r="L24" s="4"/>
      <c r="M24" s="4">
        <f t="shared" si="2"/>
        <v>-3307.829999999987</v>
      </c>
      <c r="O24" s="4">
        <f>8442.2+80572.61+491.7+11223.54+2882.17</f>
        <v>103612.21999999999</v>
      </c>
      <c r="Q24" s="4">
        <f t="shared" si="3"/>
        <v>10650.339999999997</v>
      </c>
      <c r="S24" s="4"/>
      <c r="U24" s="65"/>
      <c r="X24" s="4"/>
    </row>
    <row r="25" spans="3:24" ht="12.75">
      <c r="C25" s="3" t="s">
        <v>106</v>
      </c>
      <c r="G25" s="4"/>
      <c r="I25" s="4">
        <v>23717.07</v>
      </c>
      <c r="J25" s="4"/>
      <c r="K25" s="4">
        <v>22372.9</v>
      </c>
      <c r="L25" s="4"/>
      <c r="M25" s="4">
        <f t="shared" si="2"/>
        <v>-1344.1699999999983</v>
      </c>
      <c r="O25" s="4">
        <v>24070.68</v>
      </c>
      <c r="Q25" s="4">
        <f t="shared" si="3"/>
        <v>353.6100000000006</v>
      </c>
      <c r="S25" s="4"/>
      <c r="U25" s="65"/>
      <c r="X25" s="4"/>
    </row>
    <row r="26" spans="3:24" ht="12.75">
      <c r="C26" t="s">
        <v>33</v>
      </c>
      <c r="G26" s="4"/>
      <c r="I26" s="4">
        <f>17193.88+1502.22+871.84+1817.23</f>
        <v>21385.170000000002</v>
      </c>
      <c r="J26" s="4" t="s">
        <v>18</v>
      </c>
      <c r="K26" s="4">
        <f>18961.97+3808.09+1018.92+629.07</f>
        <v>24418.05</v>
      </c>
      <c r="L26" s="4"/>
      <c r="M26" s="4">
        <f t="shared" si="2"/>
        <v>3032.8799999999974</v>
      </c>
      <c r="O26" s="4">
        <f>20089.82+6611.99+1143.1+1142.41</f>
        <v>28987.319999999996</v>
      </c>
      <c r="Q26" s="4">
        <f t="shared" si="3"/>
        <v>7602.149999999994</v>
      </c>
      <c r="S26" s="4"/>
      <c r="U26" s="65"/>
      <c r="X26" s="4"/>
    </row>
    <row r="27" spans="3:24" ht="12.75">
      <c r="C27" t="s">
        <v>10</v>
      </c>
      <c r="G27" s="4"/>
      <c r="I27" s="4">
        <v>14050.33</v>
      </c>
      <c r="J27" s="4"/>
      <c r="K27" s="4">
        <v>16074.36</v>
      </c>
      <c r="L27" s="4"/>
      <c r="M27" s="4">
        <f t="shared" si="2"/>
        <v>2024.0300000000007</v>
      </c>
      <c r="O27" s="4">
        <v>27769.69</v>
      </c>
      <c r="Q27" s="4">
        <f t="shared" si="3"/>
        <v>13719.359999999999</v>
      </c>
      <c r="S27" s="4"/>
      <c r="U27" s="65"/>
      <c r="X27" s="4"/>
    </row>
    <row r="28" spans="3:24" ht="12.75">
      <c r="C28" t="s">
        <v>11</v>
      </c>
      <c r="G28" s="4"/>
      <c r="I28" s="4">
        <v>3524.47</v>
      </c>
      <c r="J28" s="4"/>
      <c r="K28" s="4">
        <v>1149.21</v>
      </c>
      <c r="L28" s="4"/>
      <c r="M28" s="4">
        <f t="shared" si="2"/>
        <v>-2375.2599999999998</v>
      </c>
      <c r="O28" s="4">
        <v>1830.17</v>
      </c>
      <c r="Q28" s="4">
        <f t="shared" si="3"/>
        <v>-1694.2999999999997</v>
      </c>
      <c r="S28" s="4"/>
      <c r="U28" s="65"/>
      <c r="X28" s="4"/>
    </row>
    <row r="29" spans="3:24" ht="12.75">
      <c r="C29" s="3" t="s">
        <v>40</v>
      </c>
      <c r="G29" s="4"/>
      <c r="I29" s="4">
        <f>3693.97+193.63+499.29</f>
        <v>4386.89</v>
      </c>
      <c r="J29" s="4"/>
      <c r="K29" s="4">
        <f>6141.57+222.93+845.9</f>
        <v>7210.4</v>
      </c>
      <c r="L29" s="4"/>
      <c r="M29" s="4">
        <f t="shared" si="2"/>
        <v>2823.5099999999993</v>
      </c>
      <c r="O29" s="4">
        <f>24779.53+5547.63+5777.3</f>
        <v>36104.46</v>
      </c>
      <c r="Q29" s="4">
        <f t="shared" si="3"/>
        <v>31717.57</v>
      </c>
      <c r="S29" s="4"/>
      <c r="U29" s="65"/>
      <c r="X29" s="4"/>
    </row>
    <row r="30" spans="3:24" ht="12.75">
      <c r="C30" s="47" t="s">
        <v>41</v>
      </c>
      <c r="G30" s="4"/>
      <c r="I30" s="4">
        <f>2836.71+1527.54+1252.05</f>
        <v>5616.3</v>
      </c>
      <c r="J30" s="4"/>
      <c r="K30" s="4">
        <f>5078.48+1982.91+4330.75</f>
        <v>11392.14</v>
      </c>
      <c r="L30" s="4"/>
      <c r="M30" s="4">
        <f>SUM(K30-I30)</f>
        <v>5775.839999999999</v>
      </c>
      <c r="O30" s="4">
        <f>6154.37+1861.82+5865.55</f>
        <v>13881.74</v>
      </c>
      <c r="Q30" s="4">
        <f>SUM(O30-I30)</f>
        <v>8265.439999999999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194458.77</v>
      </c>
      <c r="J34" s="5"/>
      <c r="K34" s="5">
        <f>SUM(K23:K32)</f>
        <v>203921.11</v>
      </c>
      <c r="L34" s="5"/>
      <c r="M34" s="5">
        <f>SUM(M23:M32)</f>
        <v>9462.340000000011</v>
      </c>
      <c r="N34" s="4"/>
      <c r="O34" s="5">
        <f>SUM(O23:O32)</f>
        <v>265454.27999999997</v>
      </c>
      <c r="Q34" s="5">
        <f>SUM(Q23:Q32)</f>
        <v>70995.51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0</v>
      </c>
      <c r="J39" s="5"/>
      <c r="K39" s="5">
        <f>SUM(K37:K37)</f>
        <v>0</v>
      </c>
      <c r="L39" s="5"/>
      <c r="M39" s="4">
        <f>SUM(K39-I39)</f>
        <v>0</v>
      </c>
      <c r="N39" s="5"/>
      <c r="O39" s="5">
        <f>SUM(O37:O37)</f>
        <v>0</v>
      </c>
      <c r="Q39" s="4">
        <f>SUM(O39-I39)</f>
        <v>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194458.77</v>
      </c>
      <c r="J41" s="61"/>
      <c r="K41" s="61">
        <f>K34+K39</f>
        <v>203921.11</v>
      </c>
      <c r="L41" s="61"/>
      <c r="M41" s="61">
        <f>M34+M39</f>
        <v>9462.340000000011</v>
      </c>
      <c r="O41" s="61">
        <f>O34+O39</f>
        <v>265454.27999999997</v>
      </c>
      <c r="Q41" s="61">
        <f>Q34+Q39</f>
        <v>70995.51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78411.06000000003</v>
      </c>
      <c r="J43" s="62"/>
      <c r="K43" s="62">
        <f>K19-K41</f>
        <v>69487.56000000006</v>
      </c>
      <c r="L43" s="62"/>
      <c r="M43" s="62">
        <f>SUM(M41+M19)</f>
        <v>8923.50000000001</v>
      </c>
      <c r="O43" s="62">
        <f>O19-O41</f>
        <v>-13735.409999999945</v>
      </c>
      <c r="Q43" s="62">
        <f>Q19+Q41</f>
        <v>92146.46999999999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129</v>
      </c>
      <c r="J5" s="23"/>
      <c r="K5" s="23" t="s">
        <v>130</v>
      </c>
      <c r="L5" s="23"/>
      <c r="M5" s="26" t="s">
        <v>27</v>
      </c>
      <c r="O5" s="23" t="s">
        <v>129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360777.33+37823.01+8050</f>
        <v>406650.34</v>
      </c>
      <c r="J8" s="4"/>
      <c r="K8" s="4">
        <f>333767.03+116586.74+4050</f>
        <v>454403.77</v>
      </c>
      <c r="L8" s="4"/>
      <c r="M8" s="4">
        <f aca="true" t="shared" si="0" ref="M8:M14">SUM(I8-K8)</f>
        <v>-47753.42999999999</v>
      </c>
      <c r="O8" s="4">
        <f>293158.47+84663.33+3314.36</f>
        <v>381136.16</v>
      </c>
      <c r="Q8" s="4">
        <f aca="true" t="shared" si="1" ref="Q8:Q14">SUM(I8-O8)</f>
        <v>25514.18000000005</v>
      </c>
      <c r="S8" s="4"/>
      <c r="U8" s="65"/>
      <c r="X8" s="4"/>
    </row>
    <row r="9" spans="4:24" ht="12.75">
      <c r="D9" t="s">
        <v>2</v>
      </c>
      <c r="G9" s="4"/>
      <c r="I9" s="4">
        <v>19792.29</v>
      </c>
      <c r="J9" s="4"/>
      <c r="K9" s="4">
        <v>-19472.45</v>
      </c>
      <c r="L9" s="4"/>
      <c r="M9" s="4">
        <f t="shared" si="0"/>
        <v>39264.740000000005</v>
      </c>
      <c r="O9" s="4">
        <v>4994.87</v>
      </c>
      <c r="Q9" s="4">
        <f t="shared" si="1"/>
        <v>14797.420000000002</v>
      </c>
      <c r="S9" s="4"/>
      <c r="U9" s="65"/>
      <c r="X9" s="4"/>
    </row>
    <row r="10" spans="4:24" ht="12.75">
      <c r="D10" t="s">
        <v>3</v>
      </c>
      <c r="G10" s="4"/>
      <c r="I10" s="4">
        <v>49864.52</v>
      </c>
      <c r="J10" s="4"/>
      <c r="K10" s="4">
        <v>47265.34</v>
      </c>
      <c r="L10" s="4"/>
      <c r="M10" s="4">
        <f t="shared" si="0"/>
        <v>2599.1800000000003</v>
      </c>
      <c r="O10" s="4">
        <v>59805.72</v>
      </c>
      <c r="Q10" s="4">
        <f t="shared" si="1"/>
        <v>-9941.200000000004</v>
      </c>
      <c r="S10" s="4"/>
      <c r="U10" s="65"/>
      <c r="X10" s="4"/>
    </row>
    <row r="11" spans="4:24" ht="12.75">
      <c r="D11" t="s">
        <v>31</v>
      </c>
      <c r="G11" s="4"/>
      <c r="I11" s="4">
        <f>217.11+37677</f>
        <v>37894.11</v>
      </c>
      <c r="J11" s="4"/>
      <c r="K11" s="4">
        <f>4866.44+16000</f>
        <v>20866.44</v>
      </c>
      <c r="L11" s="4"/>
      <c r="M11" s="4">
        <f t="shared" si="0"/>
        <v>17027.670000000002</v>
      </c>
      <c r="O11" s="4">
        <f>228.84+37666.65</f>
        <v>37895.49</v>
      </c>
      <c r="Q11" s="4">
        <f t="shared" si="1"/>
        <v>-1.3799999999973807</v>
      </c>
      <c r="S11" s="4"/>
      <c r="U11" s="65"/>
      <c r="X11" s="4"/>
    </row>
    <row r="12" spans="4:24" ht="12.75">
      <c r="D12" t="s">
        <v>30</v>
      </c>
      <c r="G12" s="4"/>
      <c r="I12" s="4">
        <v>1398.02</v>
      </c>
      <c r="J12" s="4"/>
      <c r="K12" s="4">
        <v>1399.17</v>
      </c>
      <c r="L12" s="4"/>
      <c r="M12" s="4">
        <f t="shared" si="0"/>
        <v>-1.150000000000091</v>
      </c>
      <c r="O12" s="4">
        <v>1399.58</v>
      </c>
      <c r="Q12" s="4">
        <f t="shared" si="1"/>
        <v>-1.5599999999999454</v>
      </c>
      <c r="S12" s="4"/>
      <c r="U12" s="65"/>
      <c r="X12" s="4"/>
    </row>
    <row r="13" spans="4:24" ht="12.75">
      <c r="D13" t="s">
        <v>29</v>
      </c>
      <c r="G13" s="4"/>
      <c r="I13" s="4">
        <v>2268.79</v>
      </c>
      <c r="J13" s="4"/>
      <c r="K13" s="4">
        <f>343.21+2535.87</f>
        <v>2879.08</v>
      </c>
      <c r="L13" s="4"/>
      <c r="M13" s="4">
        <f t="shared" si="0"/>
        <v>-610.29</v>
      </c>
      <c r="O13" s="4">
        <v>2342.58</v>
      </c>
      <c r="Q13" s="4">
        <f t="shared" si="1"/>
        <v>-73.78999999999996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517868.07</v>
      </c>
      <c r="J16" s="5"/>
      <c r="K16" s="5">
        <f>SUM(K8:K14)</f>
        <v>507341.35000000003</v>
      </c>
      <c r="L16" s="5"/>
      <c r="M16" s="5">
        <f>SUM(M8:M14)</f>
        <v>10526.720000000016</v>
      </c>
      <c r="N16" s="5"/>
      <c r="O16" s="5">
        <f>SUM(O8:O14)</f>
        <v>487574.4</v>
      </c>
      <c r="Q16" s="5">
        <f>SUM(Q8:Q14)</f>
        <v>30293.670000000046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517868.07</v>
      </c>
      <c r="J19" s="61"/>
      <c r="K19" s="61">
        <f>K16</f>
        <v>507341.35000000003</v>
      </c>
      <c r="L19" s="61"/>
      <c r="M19" s="61">
        <f>M16</f>
        <v>10526.720000000016</v>
      </c>
      <c r="O19" s="61">
        <f>O16</f>
        <v>487574.4</v>
      </c>
      <c r="Q19" s="62">
        <f>SUM(I19-O19)</f>
        <v>30293.669999999984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57633.32</v>
      </c>
      <c r="J23" s="4"/>
      <c r="K23" s="4">
        <v>63300</v>
      </c>
      <c r="L23" s="4"/>
      <c r="M23" s="4">
        <f aca="true" t="shared" si="2" ref="M23:M29">SUM(K23-I23)</f>
        <v>5666.68</v>
      </c>
      <c r="O23" s="4">
        <v>58396</v>
      </c>
      <c r="Q23" s="4">
        <f aca="true" t="shared" si="3" ref="Q23:Q29">SUM(O23-I23)</f>
        <v>762.6800000000003</v>
      </c>
      <c r="S23" s="4"/>
      <c r="U23" s="65"/>
      <c r="X23" s="4"/>
    </row>
    <row r="24" spans="3:24" ht="12.75">
      <c r="C24" t="s">
        <v>9</v>
      </c>
      <c r="G24" s="4"/>
      <c r="I24" s="4">
        <f>22434.24+121704.83+938.68+22090+12786.01</f>
        <v>179953.76</v>
      </c>
      <c r="J24" s="4"/>
      <c r="K24" s="4">
        <f>22712.2+124734.22+894+20406.44+12091.98</f>
        <v>180838.84000000003</v>
      </c>
      <c r="L24" s="4"/>
      <c r="M24" s="4">
        <f t="shared" si="2"/>
        <v>885.0800000000163</v>
      </c>
      <c r="O24" s="4">
        <f>18487.62+144475.17+983.4+22447.08+16761.41</f>
        <v>203154.68000000002</v>
      </c>
      <c r="Q24" s="4">
        <f t="shared" si="3"/>
        <v>23200.920000000013</v>
      </c>
      <c r="S24" s="4"/>
      <c r="U24" s="65"/>
      <c r="X24" s="4"/>
    </row>
    <row r="25" spans="3:24" ht="12.75">
      <c r="C25" s="3" t="s">
        <v>106</v>
      </c>
      <c r="G25" s="4"/>
      <c r="I25" s="4">
        <v>41024.93</v>
      </c>
      <c r="J25" s="4"/>
      <c r="K25" s="4">
        <v>41016.01</v>
      </c>
      <c r="L25" s="4"/>
      <c r="M25" s="4">
        <f t="shared" si="2"/>
        <v>-8.919999999998254</v>
      </c>
      <c r="O25" s="4">
        <v>43975.81</v>
      </c>
      <c r="Q25" s="4">
        <f t="shared" si="3"/>
        <v>2950.8799999999974</v>
      </c>
      <c r="S25" s="4"/>
      <c r="U25" s="65"/>
      <c r="X25" s="4"/>
    </row>
    <row r="26" spans="3:24" ht="12.75">
      <c r="C26" t="s">
        <v>33</v>
      </c>
      <c r="G26" s="4"/>
      <c r="I26" s="4">
        <f>36673.54+3550.9+2157.91+4795.11</f>
        <v>47177.46000000001</v>
      </c>
      <c r="J26" s="4" t="s">
        <v>18</v>
      </c>
      <c r="K26" s="4">
        <f>36845.96+6846.99+2294+1223.66</f>
        <v>47210.61</v>
      </c>
      <c r="L26" s="4"/>
      <c r="M26" s="4">
        <f t="shared" si="2"/>
        <v>33.14999999999418</v>
      </c>
      <c r="O26" s="4">
        <f>39617.31+12443.94+3370.87+5301</f>
        <v>60733.12</v>
      </c>
      <c r="Q26" s="4">
        <f t="shared" si="3"/>
        <v>13555.659999999996</v>
      </c>
      <c r="S26" s="4"/>
      <c r="U26" s="65"/>
      <c r="X26" s="4"/>
    </row>
    <row r="27" spans="3:24" ht="12.75">
      <c r="C27" t="s">
        <v>10</v>
      </c>
      <c r="G27" s="4"/>
      <c r="I27" s="4">
        <v>22999.3</v>
      </c>
      <c r="J27" s="4"/>
      <c r="K27" s="4">
        <v>23135.42</v>
      </c>
      <c r="L27" s="4"/>
      <c r="M27" s="4">
        <f t="shared" si="2"/>
        <v>136.11999999999898</v>
      </c>
      <c r="O27" s="4">
        <v>43973.48</v>
      </c>
      <c r="Q27" s="4">
        <f t="shared" si="3"/>
        <v>20974.180000000004</v>
      </c>
      <c r="S27" s="4"/>
      <c r="U27" s="65"/>
      <c r="X27" s="4"/>
    </row>
    <row r="28" spans="3:24" ht="12.75">
      <c r="C28" t="s">
        <v>11</v>
      </c>
      <c r="G28" s="4"/>
      <c r="I28" s="4">
        <v>4928.37</v>
      </c>
      <c r="J28" s="4"/>
      <c r="K28" s="4">
        <v>3231</v>
      </c>
      <c r="L28" s="4"/>
      <c r="M28" s="4">
        <f t="shared" si="2"/>
        <v>-1697.37</v>
      </c>
      <c r="O28" s="4">
        <v>5515</v>
      </c>
      <c r="Q28" s="4">
        <f t="shared" si="3"/>
        <v>586.6300000000001</v>
      </c>
      <c r="S28" s="4"/>
      <c r="U28" s="65"/>
      <c r="X28" s="4"/>
    </row>
    <row r="29" spans="3:24" ht="12.75">
      <c r="C29" s="3" t="s">
        <v>40</v>
      </c>
      <c r="G29" s="4"/>
      <c r="I29" s="4">
        <f>8355.87+2046+1366.69</f>
        <v>11768.560000000001</v>
      </c>
      <c r="J29" s="4"/>
      <c r="K29" s="4">
        <f>16409.32+458.8+4290.47</f>
        <v>21158.59</v>
      </c>
      <c r="L29" s="4"/>
      <c r="M29" s="4">
        <f t="shared" si="2"/>
        <v>9390.029999999999</v>
      </c>
      <c r="O29" s="4">
        <f>53986.69+11115.52+11516.43</f>
        <v>76618.64000000001</v>
      </c>
      <c r="Q29" s="4">
        <f t="shared" si="3"/>
        <v>64850.080000000016</v>
      </c>
      <c r="S29" s="4"/>
      <c r="U29" s="65"/>
      <c r="X29" s="4"/>
    </row>
    <row r="30" spans="3:24" ht="12.75">
      <c r="C30" s="47" t="s">
        <v>41</v>
      </c>
      <c r="G30" s="4"/>
      <c r="I30" s="4">
        <f>10226.35+3773.1+6281.49</f>
        <v>20280.940000000002</v>
      </c>
      <c r="J30" s="4"/>
      <c r="K30" s="4">
        <f>10530.47+4230.53+8808.59</f>
        <v>23569.59</v>
      </c>
      <c r="L30" s="4"/>
      <c r="M30" s="4">
        <f>SUM(K30-I30)</f>
        <v>3288.649999999998</v>
      </c>
      <c r="O30" s="4">
        <f>12657.96+3962.07+11822.59</f>
        <v>28442.62</v>
      </c>
      <c r="Q30" s="4">
        <f>SUM(O30-I30)</f>
        <v>8161.679999999997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385766.64</v>
      </c>
      <c r="J34" s="5"/>
      <c r="K34" s="5">
        <f>SUM(K23:K32)</f>
        <v>403460.06000000006</v>
      </c>
      <c r="L34" s="5"/>
      <c r="M34" s="5">
        <f>SUM(M23:M32)</f>
        <v>17693.42000000001</v>
      </c>
      <c r="N34" s="4"/>
      <c r="O34" s="5">
        <f>SUM(O23:O32)</f>
        <v>520809.35</v>
      </c>
      <c r="Q34" s="5">
        <f>SUM(Q23:Q32)</f>
        <v>135042.71000000002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28187.5</v>
      </c>
      <c r="J37" s="4"/>
      <c r="K37" s="4">
        <v>32750</v>
      </c>
      <c r="L37" s="4"/>
      <c r="M37" s="4">
        <f>SUM(K37-I37)</f>
        <v>4562.5</v>
      </c>
      <c r="O37" s="4">
        <v>29437.5</v>
      </c>
      <c r="Q37" s="4">
        <f>SUM(O37-I37)</f>
        <v>1250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28187.5</v>
      </c>
      <c r="J39" s="5"/>
      <c r="K39" s="5">
        <f>SUM(K37:K37)</f>
        <v>32750</v>
      </c>
      <c r="L39" s="5"/>
      <c r="M39" s="4">
        <f>SUM(K39-I39)</f>
        <v>4562.5</v>
      </c>
      <c r="N39" s="5"/>
      <c r="O39" s="5">
        <f>SUM(O37:O37)</f>
        <v>29437.5</v>
      </c>
      <c r="Q39" s="4">
        <f>SUM(O39-I39)</f>
        <v>1250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413954.14</v>
      </c>
      <c r="J41" s="61"/>
      <c r="K41" s="61">
        <f>K34+K39</f>
        <v>436210.06000000006</v>
      </c>
      <c r="L41" s="61"/>
      <c r="M41" s="61">
        <f>M34+M39</f>
        <v>22255.92000000001</v>
      </c>
      <c r="O41" s="61">
        <f>O34+O39</f>
        <v>550246.85</v>
      </c>
      <c r="Q41" s="61">
        <f>Q34+Q39</f>
        <v>136292.71000000002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103913.93</v>
      </c>
      <c r="J43" s="62"/>
      <c r="K43" s="62">
        <f>K19-K41</f>
        <v>71131.28999999998</v>
      </c>
      <c r="L43" s="62"/>
      <c r="M43" s="62">
        <f>SUM(M41+M19)</f>
        <v>32782.64000000003</v>
      </c>
      <c r="O43" s="62">
        <f>O19-O41</f>
        <v>-62672.44999999995</v>
      </c>
      <c r="Q43" s="62">
        <f>Q19+Q41</f>
        <v>166586.38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44561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131</v>
      </c>
      <c r="J5" s="23"/>
      <c r="K5" s="23" t="s">
        <v>110</v>
      </c>
      <c r="L5" s="23"/>
      <c r="M5" s="26" t="s">
        <v>27</v>
      </c>
      <c r="O5" s="23" t="s">
        <v>131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581113.31+129074.27+13350</f>
        <v>723537.5800000001</v>
      </c>
      <c r="J8" s="4"/>
      <c r="K8" s="4">
        <f>521305.09+198682.25+6650</f>
        <v>726637.3400000001</v>
      </c>
      <c r="L8" s="4"/>
      <c r="M8" s="4">
        <f aca="true" t="shared" si="0" ref="M8:M14">SUM(I8-K8)</f>
        <v>-3099.7600000000093</v>
      </c>
      <c r="O8" s="4">
        <f>457731.87+161882.44+5442.33</f>
        <v>625056.64</v>
      </c>
      <c r="Q8" s="4">
        <f aca="true" t="shared" si="1" ref="Q8:Q14">SUM(I8-O8)</f>
        <v>98480.94000000006</v>
      </c>
      <c r="S8" s="4"/>
      <c r="U8" s="65"/>
      <c r="X8" s="4"/>
    </row>
    <row r="9" spans="4:24" ht="12.75">
      <c r="D9" t="s">
        <v>2</v>
      </c>
      <c r="G9" s="4"/>
      <c r="I9" s="4">
        <v>26832.46</v>
      </c>
      <c r="J9" s="4"/>
      <c r="K9" s="4">
        <v>-6839.25</v>
      </c>
      <c r="L9" s="4"/>
      <c r="M9" s="4">
        <f t="shared" si="0"/>
        <v>33671.71</v>
      </c>
      <c r="O9" s="4">
        <v>8687.05</v>
      </c>
      <c r="Q9" s="4">
        <f t="shared" si="1"/>
        <v>18145.41</v>
      </c>
      <c r="S9" s="4"/>
      <c r="U9" s="65"/>
      <c r="X9" s="4"/>
    </row>
    <row r="10" spans="4:24" ht="12.75">
      <c r="D10" t="s">
        <v>3</v>
      </c>
      <c r="G10" s="4"/>
      <c r="I10" s="4">
        <v>55614.15</v>
      </c>
      <c r="J10" s="4"/>
      <c r="K10" s="4">
        <v>50987.54</v>
      </c>
      <c r="L10" s="4"/>
      <c r="M10" s="4">
        <f t="shared" si="0"/>
        <v>4626.610000000001</v>
      </c>
      <c r="O10" s="4">
        <v>67146.96</v>
      </c>
      <c r="Q10" s="4">
        <f t="shared" si="1"/>
        <v>-11532.810000000005</v>
      </c>
      <c r="S10" s="4"/>
      <c r="U10" s="65"/>
      <c r="X10" s="4"/>
    </row>
    <row r="11" spans="4:24" ht="12.75">
      <c r="D11" t="s">
        <v>31</v>
      </c>
      <c r="G11" s="4"/>
      <c r="I11" s="4">
        <f>270.38+53927</f>
        <v>54197.38</v>
      </c>
      <c r="J11" s="4"/>
      <c r="K11" s="4">
        <f>9639.06+24000</f>
        <v>33639.06</v>
      </c>
      <c r="L11" s="4"/>
      <c r="M11" s="4">
        <f t="shared" si="0"/>
        <v>20558.32</v>
      </c>
      <c r="O11" s="4">
        <f>453.27+56499.98</f>
        <v>56953.25</v>
      </c>
      <c r="Q11" s="4">
        <f t="shared" si="1"/>
        <v>-2755.8700000000026</v>
      </c>
      <c r="S11" s="4"/>
      <c r="U11" s="65"/>
      <c r="X11" s="4"/>
    </row>
    <row r="12" spans="4:24" ht="12.75">
      <c r="D12" t="s">
        <v>30</v>
      </c>
      <c r="G12" s="4"/>
      <c r="I12" s="4">
        <v>6290.72</v>
      </c>
      <c r="J12" s="4"/>
      <c r="K12" s="4">
        <v>2120.49</v>
      </c>
      <c r="L12" s="4"/>
      <c r="M12" s="4">
        <f t="shared" si="0"/>
        <v>4170.2300000000005</v>
      </c>
      <c r="O12" s="4">
        <v>2100.23</v>
      </c>
      <c r="Q12" s="4">
        <f t="shared" si="1"/>
        <v>4190.49</v>
      </c>
      <c r="S12" s="4"/>
      <c r="U12" s="65"/>
      <c r="X12" s="4"/>
    </row>
    <row r="13" spans="4:24" ht="12.75">
      <c r="D13" t="s">
        <v>29</v>
      </c>
      <c r="G13" s="4"/>
      <c r="I13" s="4">
        <v>4537.58</v>
      </c>
      <c r="J13" s="4"/>
      <c r="K13" s="4">
        <f>343.21+5071.74</f>
        <v>5414.95</v>
      </c>
      <c r="L13" s="4"/>
      <c r="M13" s="4">
        <f t="shared" si="0"/>
        <v>-877.3699999999999</v>
      </c>
      <c r="O13" s="4">
        <v>4685.17</v>
      </c>
      <c r="Q13" s="4">
        <f t="shared" si="1"/>
        <v>-147.59000000000015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871009.87</v>
      </c>
      <c r="J16" s="5"/>
      <c r="K16" s="5">
        <f>SUM(K8:K14)</f>
        <v>811960.1300000001</v>
      </c>
      <c r="L16" s="5"/>
      <c r="M16" s="5">
        <f>SUM(M8:M14)</f>
        <v>59049.73999999999</v>
      </c>
      <c r="N16" s="5"/>
      <c r="O16" s="5">
        <f>SUM(O8:O14)</f>
        <v>764629.3</v>
      </c>
      <c r="Q16" s="5">
        <f>SUM(Q8:Q14)</f>
        <v>106380.57000000008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871009.87</v>
      </c>
      <c r="J19" s="61"/>
      <c r="K19" s="61">
        <f>K16</f>
        <v>811960.1300000001</v>
      </c>
      <c r="L19" s="61"/>
      <c r="M19" s="61">
        <f>M16</f>
        <v>59049.73999999999</v>
      </c>
      <c r="O19" s="61">
        <f>O16</f>
        <v>764629.3</v>
      </c>
      <c r="Q19" s="62">
        <f>SUM(I19-O19)</f>
        <v>106380.56999999995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86449.98</v>
      </c>
      <c r="J23" s="4"/>
      <c r="K23" s="4">
        <v>94950</v>
      </c>
      <c r="L23" s="4"/>
      <c r="M23" s="4">
        <f aca="true" t="shared" si="2" ref="M23:M29">SUM(K23-I23)</f>
        <v>8500.020000000004</v>
      </c>
      <c r="O23" s="4">
        <v>87594</v>
      </c>
      <c r="Q23" s="4">
        <f aca="true" t="shared" si="3" ref="Q23:Q29">SUM(O23-I23)</f>
        <v>1144.020000000004</v>
      </c>
      <c r="S23" s="4"/>
      <c r="U23" s="65"/>
      <c r="X23" s="4"/>
    </row>
    <row r="24" spans="3:24" ht="12.75">
      <c r="C24" t="s">
        <v>9</v>
      </c>
      <c r="G24" s="4"/>
      <c r="I24" s="4">
        <f>34996.86+188800.69+1408.02+33135+25373.03</f>
        <v>283713.6</v>
      </c>
      <c r="J24" s="4"/>
      <c r="K24" s="4">
        <f>33522.76+192789.74+1341+30609.66+26917.93</f>
        <v>285181.09</v>
      </c>
      <c r="L24" s="4"/>
      <c r="M24" s="4">
        <f t="shared" si="2"/>
        <v>1467.490000000049</v>
      </c>
      <c r="O24" s="4">
        <f>29623.1+220852.45+1475.1+33670.63+38253.25</f>
        <v>323874.53</v>
      </c>
      <c r="Q24" s="4">
        <f t="shared" si="3"/>
        <v>40160.93000000005</v>
      </c>
      <c r="S24" s="4"/>
      <c r="U24" s="65"/>
      <c r="X24" s="4"/>
    </row>
    <row r="25" spans="3:24" ht="12.75">
      <c r="C25" s="3" t="s">
        <v>106</v>
      </c>
      <c r="G25" s="4"/>
      <c r="I25" s="4">
        <v>55465.13</v>
      </c>
      <c r="J25" s="4"/>
      <c r="K25" s="4">
        <v>63521.32</v>
      </c>
      <c r="L25" s="4"/>
      <c r="M25" s="4">
        <f t="shared" si="2"/>
        <v>8056.190000000002</v>
      </c>
      <c r="O25" s="4">
        <v>68142.52</v>
      </c>
      <c r="Q25" s="4">
        <f t="shared" si="3"/>
        <v>12677.390000000007</v>
      </c>
      <c r="S25" s="4"/>
      <c r="U25" s="65"/>
      <c r="X25" s="4"/>
    </row>
    <row r="26" spans="3:24" ht="12.75">
      <c r="C26" t="s">
        <v>33</v>
      </c>
      <c r="G26" s="4"/>
      <c r="I26" s="4">
        <f>53139.68+9414.26+3484.01+7541.43</f>
        <v>73579.38</v>
      </c>
      <c r="J26" s="4" t="s">
        <v>18</v>
      </c>
      <c r="K26" s="4">
        <f>55001.89+11931.92+3633.44+5253.57</f>
        <v>75820.82</v>
      </c>
      <c r="L26" s="4"/>
      <c r="M26" s="4">
        <f t="shared" si="2"/>
        <v>2241.4400000000023</v>
      </c>
      <c r="O26" s="4">
        <f>59248.51+20504.61+5183.13+10166.66</f>
        <v>95102.91</v>
      </c>
      <c r="Q26" s="4">
        <f t="shared" si="3"/>
        <v>21523.53</v>
      </c>
      <c r="S26" s="4"/>
      <c r="U26" s="65"/>
      <c r="X26" s="4"/>
    </row>
    <row r="27" spans="3:24" ht="12.75">
      <c r="C27" t="s">
        <v>10</v>
      </c>
      <c r="G27" s="4"/>
      <c r="I27" s="4">
        <v>30873</v>
      </c>
      <c r="J27" s="4"/>
      <c r="K27" s="4">
        <v>26002.04</v>
      </c>
      <c r="L27" s="4"/>
      <c r="M27" s="4">
        <f t="shared" si="2"/>
        <v>-4870.959999999999</v>
      </c>
      <c r="O27" s="4">
        <v>55443.87</v>
      </c>
      <c r="Q27" s="4">
        <f t="shared" si="3"/>
        <v>24570.870000000003</v>
      </c>
      <c r="S27" s="4"/>
      <c r="U27" s="65"/>
      <c r="X27" s="4"/>
    </row>
    <row r="28" spans="3:24" ht="12.75">
      <c r="C28" t="s">
        <v>11</v>
      </c>
      <c r="G28" s="4"/>
      <c r="I28" s="4">
        <v>6028.94</v>
      </c>
      <c r="J28" s="4"/>
      <c r="K28" s="4">
        <v>5281.25</v>
      </c>
      <c r="L28" s="4"/>
      <c r="M28" s="4">
        <f t="shared" si="2"/>
        <v>-747.6899999999996</v>
      </c>
      <c r="O28" s="4">
        <v>8669.92</v>
      </c>
      <c r="Q28" s="4">
        <f t="shared" si="3"/>
        <v>2640.9800000000005</v>
      </c>
      <c r="S28" s="4"/>
      <c r="U28" s="65"/>
      <c r="X28" s="4"/>
    </row>
    <row r="29" spans="3:24" ht="12.75">
      <c r="C29" s="3" t="s">
        <v>40</v>
      </c>
      <c r="G29" s="4"/>
      <c r="I29" s="4">
        <f>22972.84+2046+2251.46</f>
        <v>27270.3</v>
      </c>
      <c r="J29" s="4"/>
      <c r="K29" s="4">
        <f>20479.73+586.04+5649.88</f>
        <v>26715.65</v>
      </c>
      <c r="L29" s="4"/>
      <c r="M29" s="4">
        <f t="shared" si="2"/>
        <v>-554.6499999999978</v>
      </c>
      <c r="O29" s="4">
        <f>77799.56+16513.31+17913.5</f>
        <v>112226.37</v>
      </c>
      <c r="Q29" s="4">
        <f t="shared" si="3"/>
        <v>84956.06999999999</v>
      </c>
      <c r="S29" s="4"/>
      <c r="U29" s="65"/>
      <c r="X29" s="4"/>
    </row>
    <row r="30" spans="3:24" ht="12.75">
      <c r="C30" s="47" t="s">
        <v>41</v>
      </c>
      <c r="G30" s="4"/>
      <c r="I30" s="4">
        <f>18357.56+6231.57+11893.58</f>
        <v>36482.71</v>
      </c>
      <c r="J30" s="4"/>
      <c r="K30" s="4">
        <f>15296.7+6081.27+13194.97</f>
        <v>34572.94</v>
      </c>
      <c r="L30" s="4"/>
      <c r="M30" s="4">
        <f>SUM(K30-I30)</f>
        <v>-1909.7699999999968</v>
      </c>
      <c r="O30" s="4">
        <f>18453.12+5698.77+17712.02</f>
        <v>41863.91</v>
      </c>
      <c r="Q30" s="4">
        <f>SUM(O30-I30)</f>
        <v>5381.200000000004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599863.0399999999</v>
      </c>
      <c r="J34" s="5"/>
      <c r="K34" s="5">
        <f>SUM(K23:K32)</f>
        <v>612045.1100000001</v>
      </c>
      <c r="L34" s="5"/>
      <c r="M34" s="5">
        <f>SUM(M23:M32)</f>
        <v>12182.070000000065</v>
      </c>
      <c r="N34" s="4"/>
      <c r="O34" s="5">
        <f>SUM(O23:O32)</f>
        <v>792918.0300000001</v>
      </c>
      <c r="Q34" s="5">
        <f>SUM(Q23:Q32)</f>
        <v>193054.99000000005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56375</v>
      </c>
      <c r="J37" s="4"/>
      <c r="K37" s="4">
        <v>65500</v>
      </c>
      <c r="L37" s="4"/>
      <c r="M37" s="4">
        <f>SUM(K37-I37)</f>
        <v>9125</v>
      </c>
      <c r="O37" s="4">
        <v>58875</v>
      </c>
      <c r="Q37" s="4">
        <f>SUM(O37-I37)</f>
        <v>2500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56375</v>
      </c>
      <c r="J39" s="5"/>
      <c r="K39" s="5">
        <f>SUM(K37:K37)</f>
        <v>65500</v>
      </c>
      <c r="L39" s="5"/>
      <c r="M39" s="4">
        <f>SUM(K39-I39)</f>
        <v>9125</v>
      </c>
      <c r="N39" s="5"/>
      <c r="O39" s="5">
        <f>SUM(O37:O37)</f>
        <v>58875</v>
      </c>
      <c r="Q39" s="4">
        <f>SUM(O39-I39)</f>
        <v>2500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656238.0399999999</v>
      </c>
      <c r="J41" s="61"/>
      <c r="K41" s="61">
        <f>K34+K39</f>
        <v>677545.1100000001</v>
      </c>
      <c r="L41" s="61"/>
      <c r="M41" s="61">
        <f>M34+M39</f>
        <v>21307.070000000065</v>
      </c>
      <c r="O41" s="61">
        <f>O34+O39</f>
        <v>851793.0300000001</v>
      </c>
      <c r="Q41" s="61">
        <f>Q34+Q39</f>
        <v>195554.99000000005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214771.83000000007</v>
      </c>
      <c r="J43" s="62"/>
      <c r="K43" s="62">
        <f>K19-K41</f>
        <v>134415.02000000002</v>
      </c>
      <c r="L43" s="62"/>
      <c r="M43" s="62">
        <f>SUM(M41+M19)</f>
        <v>80356.81000000006</v>
      </c>
      <c r="O43" s="62">
        <f>O19-O41</f>
        <v>-87163.7300000001</v>
      </c>
      <c r="Q43" s="62">
        <f>Q19+Q41</f>
        <v>301935.56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44620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132</v>
      </c>
      <c r="J5" s="23"/>
      <c r="K5" s="23" t="s">
        <v>112</v>
      </c>
      <c r="L5" s="23"/>
      <c r="M5" s="26" t="s">
        <v>27</v>
      </c>
      <c r="O5" s="23" t="s">
        <v>132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768292.37+168709.55+16950</f>
        <v>953951.9199999999</v>
      </c>
      <c r="J8" s="4"/>
      <c r="K8" s="4">
        <f>713538.93+241420.03+8100</f>
        <v>963058.9600000001</v>
      </c>
      <c r="L8" s="4"/>
      <c r="M8" s="4">
        <f aca="true" t="shared" si="0" ref="M8:M14">SUM(I8-K8)</f>
        <v>-9107.040000000154</v>
      </c>
      <c r="O8" s="4">
        <f>753507.78+204200.97+6617.37</f>
        <v>964326.12</v>
      </c>
      <c r="Q8" s="4">
        <f aca="true" t="shared" si="1" ref="Q8:Q14">SUM(I8-O8)</f>
        <v>-10374.20000000007</v>
      </c>
      <c r="S8" s="4"/>
      <c r="U8" s="65"/>
      <c r="X8" s="4"/>
    </row>
    <row r="9" spans="4:24" ht="12.75">
      <c r="D9" t="s">
        <v>2</v>
      </c>
      <c r="G9" s="4"/>
      <c r="I9" s="4">
        <v>25261.44</v>
      </c>
      <c r="J9" s="4"/>
      <c r="K9" s="4">
        <v>153974.26</v>
      </c>
      <c r="L9" s="4"/>
      <c r="M9" s="4">
        <f t="shared" si="0"/>
        <v>-128712.82</v>
      </c>
      <c r="O9" s="4">
        <v>12058.3</v>
      </c>
      <c r="Q9" s="4">
        <f t="shared" si="1"/>
        <v>13203.14</v>
      </c>
      <c r="S9" s="4"/>
      <c r="U9" s="65"/>
      <c r="X9" s="4"/>
    </row>
    <row r="10" spans="4:24" ht="12.75">
      <c r="D10" t="s">
        <v>3</v>
      </c>
      <c r="G10" s="4"/>
      <c r="I10" s="4">
        <v>57579.36</v>
      </c>
      <c r="J10" s="4"/>
      <c r="K10" s="4">
        <v>52851.76</v>
      </c>
      <c r="L10" s="4"/>
      <c r="M10" s="4">
        <f t="shared" si="0"/>
        <v>4727.5999999999985</v>
      </c>
      <c r="O10" s="4">
        <v>71465.23</v>
      </c>
      <c r="Q10" s="4">
        <f t="shared" si="1"/>
        <v>-13885.869999999995</v>
      </c>
      <c r="S10" s="4"/>
      <c r="U10" s="65"/>
      <c r="X10" s="4"/>
    </row>
    <row r="11" spans="4:24" ht="12.75">
      <c r="D11" t="s">
        <v>31</v>
      </c>
      <c r="G11" s="4"/>
      <c r="I11" s="4">
        <f>438.28+65527</f>
        <v>65965.28</v>
      </c>
      <c r="J11" s="4"/>
      <c r="K11" s="4">
        <f>10048.88+32300</f>
        <v>42348.88</v>
      </c>
      <c r="L11" s="4"/>
      <c r="M11" s="4">
        <f t="shared" si="0"/>
        <v>23616.4</v>
      </c>
      <c r="O11" s="4">
        <f>472.54+75333.32</f>
        <v>75805.86</v>
      </c>
      <c r="Q11" s="4">
        <f t="shared" si="1"/>
        <v>-9840.580000000002</v>
      </c>
      <c r="S11" s="4"/>
      <c r="U11" s="65"/>
      <c r="X11" s="4"/>
    </row>
    <row r="12" spans="4:24" ht="12.75">
      <c r="D12" t="s">
        <v>30</v>
      </c>
      <c r="G12" s="4"/>
      <c r="I12" s="4">
        <v>7027.11</v>
      </c>
      <c r="J12" s="4"/>
      <c r="K12" s="4">
        <v>2800.49</v>
      </c>
      <c r="L12" s="4"/>
      <c r="M12" s="4">
        <f t="shared" si="0"/>
        <v>4226.62</v>
      </c>
      <c r="O12" s="4">
        <v>2780.23</v>
      </c>
      <c r="Q12" s="4">
        <f t="shared" si="1"/>
        <v>4246.879999999999</v>
      </c>
      <c r="S12" s="4"/>
      <c r="U12" s="65"/>
      <c r="X12" s="4"/>
    </row>
    <row r="13" spans="4:24" ht="12.75">
      <c r="D13" t="s">
        <v>29</v>
      </c>
      <c r="G13" s="4"/>
      <c r="I13" s="4">
        <f>25509.96+4537.58</f>
        <v>30047.54</v>
      </c>
      <c r="J13" s="4"/>
      <c r="K13" s="4">
        <f>343.21+5071.74</f>
        <v>5414.95</v>
      </c>
      <c r="L13" s="4"/>
      <c r="M13" s="4">
        <f t="shared" si="0"/>
        <v>24632.59</v>
      </c>
      <c r="O13" s="4">
        <v>4685.17</v>
      </c>
      <c r="Q13" s="4">
        <f t="shared" si="1"/>
        <v>25362.370000000003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1139832.65</v>
      </c>
      <c r="J16" s="5"/>
      <c r="K16" s="5">
        <f>SUM(K8:K14)</f>
        <v>1220449.3</v>
      </c>
      <c r="L16" s="5"/>
      <c r="M16" s="5">
        <f>SUM(M8:M14)</f>
        <v>-80616.65000000017</v>
      </c>
      <c r="N16" s="5"/>
      <c r="O16" s="5">
        <f>SUM(O8:O14)</f>
        <v>1131120.91</v>
      </c>
      <c r="Q16" s="5">
        <f>SUM(Q8:Q14)</f>
        <v>8711.739999999932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1139832.65</v>
      </c>
      <c r="J19" s="61"/>
      <c r="K19" s="61">
        <f>K16</f>
        <v>1220449.3</v>
      </c>
      <c r="L19" s="61"/>
      <c r="M19" s="61">
        <f>M16</f>
        <v>-80616.65000000017</v>
      </c>
      <c r="O19" s="61">
        <f>O16</f>
        <v>1131120.91</v>
      </c>
      <c r="Q19" s="62">
        <f>SUM(I19-O19)</f>
        <v>8711.73999999999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115266.64</v>
      </c>
      <c r="J23" s="4"/>
      <c r="K23" s="4">
        <v>126600</v>
      </c>
      <c r="L23" s="4"/>
      <c r="M23" s="4">
        <f aca="true" t="shared" si="2" ref="M23:M29">SUM(K23-I23)</f>
        <v>11333.36</v>
      </c>
      <c r="O23" s="4">
        <v>116792</v>
      </c>
      <c r="Q23" s="4">
        <f aca="true" t="shared" si="3" ref="Q23:Q29">SUM(O23-I23)</f>
        <v>1525.3600000000006</v>
      </c>
      <c r="S23" s="4"/>
      <c r="U23" s="65"/>
      <c r="X23" s="4"/>
    </row>
    <row r="24" spans="3:24" ht="12.75">
      <c r="C24" t="s">
        <v>9</v>
      </c>
      <c r="G24" s="4"/>
      <c r="I24" s="4">
        <f>48124.48+240907.87+1877.36+44180+38432</f>
        <v>373521.70999999996</v>
      </c>
      <c r="J24" s="4"/>
      <c r="K24" s="4">
        <f>44835.38+242830.69+1788+40812.88+37993.65</f>
        <v>368260.60000000003</v>
      </c>
      <c r="L24" s="4"/>
      <c r="M24" s="4">
        <f t="shared" si="2"/>
        <v>-5261.109999999928</v>
      </c>
      <c r="O24" s="4">
        <f>41563.36+276031.46+1966.8+44894.17+50526.14</f>
        <v>414981.93</v>
      </c>
      <c r="Q24" s="4">
        <f t="shared" si="3"/>
        <v>41460.22000000003</v>
      </c>
      <c r="S24" s="4"/>
      <c r="U24" s="65"/>
      <c r="X24" s="4"/>
    </row>
    <row r="25" spans="3:24" ht="12.75">
      <c r="C25" s="3" t="s">
        <v>106</v>
      </c>
      <c r="G25" s="4"/>
      <c r="I25" s="4">
        <v>73712.61</v>
      </c>
      <c r="J25" s="4"/>
      <c r="K25" s="4">
        <v>87224.61</v>
      </c>
      <c r="L25" s="4"/>
      <c r="M25" s="4">
        <f t="shared" si="2"/>
        <v>13512</v>
      </c>
      <c r="O25" s="4">
        <v>92909.81</v>
      </c>
      <c r="Q25" s="4">
        <f t="shared" si="3"/>
        <v>19197.199999999997</v>
      </c>
      <c r="S25" s="4"/>
      <c r="U25" s="65"/>
      <c r="X25" s="4"/>
    </row>
    <row r="26" spans="3:24" ht="12.75">
      <c r="C26" t="s">
        <v>33</v>
      </c>
      <c r="G26" s="4"/>
      <c r="I26" s="4">
        <f>70159.49+10752.1+4355.33+9632.56</f>
        <v>94899.48000000001</v>
      </c>
      <c r="J26" s="4" t="s">
        <v>18</v>
      </c>
      <c r="K26" s="4">
        <f>74770.09+17048.33+4950.33+7711.43</f>
        <v>104480.18</v>
      </c>
      <c r="L26" s="4"/>
      <c r="M26" s="4">
        <f t="shared" si="2"/>
        <v>9580.699999999983</v>
      </c>
      <c r="O26" s="4">
        <f>79156.91+27529.68+7350.42+14568.34</f>
        <v>128605.34999999999</v>
      </c>
      <c r="Q26" s="4">
        <f t="shared" si="3"/>
        <v>33705.86999999998</v>
      </c>
      <c r="S26" s="4"/>
      <c r="U26" s="65"/>
      <c r="X26" s="4"/>
    </row>
    <row r="27" spans="3:24" ht="12.75">
      <c r="C27" t="s">
        <v>10</v>
      </c>
      <c r="G27" s="4"/>
      <c r="I27" s="4">
        <v>37564.28</v>
      </c>
      <c r="J27" s="4"/>
      <c r="K27" s="4">
        <v>28628.92</v>
      </c>
      <c r="L27" s="4"/>
      <c r="M27" s="4">
        <f t="shared" si="2"/>
        <v>-8935.36</v>
      </c>
      <c r="O27" s="4">
        <v>65607.8</v>
      </c>
      <c r="Q27" s="4">
        <f t="shared" si="3"/>
        <v>28043.520000000004</v>
      </c>
      <c r="S27" s="4"/>
      <c r="U27" s="65"/>
      <c r="X27" s="4"/>
    </row>
    <row r="28" spans="3:24" ht="12.75">
      <c r="C28" t="s">
        <v>11</v>
      </c>
      <c r="G28" s="4"/>
      <c r="I28" s="4">
        <v>6447.13</v>
      </c>
      <c r="J28" s="4"/>
      <c r="K28" s="4">
        <v>6443.39</v>
      </c>
      <c r="L28" s="4"/>
      <c r="M28" s="4">
        <f t="shared" si="2"/>
        <v>-3.7399999999997817</v>
      </c>
      <c r="O28" s="4">
        <v>10392.69</v>
      </c>
      <c r="Q28" s="4">
        <f t="shared" si="3"/>
        <v>3945.5600000000004</v>
      </c>
      <c r="S28" s="4"/>
      <c r="U28" s="65"/>
      <c r="X28" s="4"/>
    </row>
    <row r="29" spans="3:24" ht="12.75">
      <c r="C29" s="3" t="s">
        <v>40</v>
      </c>
      <c r="G29" s="4"/>
      <c r="I29" s="4">
        <f>42778.66+2996+3518.46</f>
        <v>49293.12</v>
      </c>
      <c r="J29" s="4"/>
      <c r="K29" s="4">
        <f>54108.78+2368.36+7056.89</f>
        <v>63534.03</v>
      </c>
      <c r="L29" s="4"/>
      <c r="M29" s="4">
        <f t="shared" si="2"/>
        <v>14240.909999999996</v>
      </c>
      <c r="O29" s="4">
        <f>116268.7+23864.6+23820.93</f>
        <v>163954.22999999998</v>
      </c>
      <c r="Q29" s="4">
        <f t="shared" si="3"/>
        <v>114661.10999999999</v>
      </c>
      <c r="S29" s="4"/>
      <c r="U29" s="65"/>
      <c r="X29" s="4"/>
    </row>
    <row r="30" spans="3:24" ht="12.75">
      <c r="C30" s="47" t="s">
        <v>41</v>
      </c>
      <c r="G30" s="4"/>
      <c r="I30" s="4">
        <f>24478.22+8080.23+16683.9</f>
        <v>49242.350000000006</v>
      </c>
      <c r="J30" s="4"/>
      <c r="K30" s="4">
        <f>21034.9+8515.26+17896.05</f>
        <v>47446.21000000001</v>
      </c>
      <c r="L30" s="4"/>
      <c r="M30" s="4">
        <f>SUM(K30-I30)</f>
        <v>-1796.1399999999994</v>
      </c>
      <c r="O30" s="4">
        <f>25110.8+7973.85+23909.47</f>
        <v>56994.12</v>
      </c>
      <c r="Q30" s="4">
        <f>SUM(O30-I30)</f>
        <v>7751.769999999997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799947.32</v>
      </c>
      <c r="J34" s="5"/>
      <c r="K34" s="5">
        <f>SUM(K23:K32)</f>
        <v>832617.9400000002</v>
      </c>
      <c r="L34" s="5"/>
      <c r="M34" s="5">
        <f>SUM(M23:M32)</f>
        <v>32670.620000000054</v>
      </c>
      <c r="N34" s="4"/>
      <c r="O34" s="5">
        <f>SUM(O23:O32)</f>
        <v>1050237.93</v>
      </c>
      <c r="Q34" s="5">
        <f>SUM(Q23:Q32)</f>
        <v>250290.61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84562.5</v>
      </c>
      <c r="J37" s="4"/>
      <c r="K37" s="4">
        <v>98250</v>
      </c>
      <c r="L37" s="4"/>
      <c r="M37" s="4">
        <f>SUM(K37-I37)</f>
        <v>13687.5</v>
      </c>
      <c r="O37" s="4">
        <v>88312.5</v>
      </c>
      <c r="Q37" s="4">
        <f>SUM(O37-I37)</f>
        <v>3750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84562.5</v>
      </c>
      <c r="J39" s="5"/>
      <c r="K39" s="5">
        <f>SUM(K37:K37)</f>
        <v>98250</v>
      </c>
      <c r="L39" s="5"/>
      <c r="M39" s="4">
        <f>SUM(K39-I39)</f>
        <v>13687.5</v>
      </c>
      <c r="N39" s="5"/>
      <c r="O39" s="5">
        <f>SUM(O37:O37)</f>
        <v>88312.5</v>
      </c>
      <c r="Q39" s="4">
        <f>SUM(O39-I39)</f>
        <v>3750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884509.82</v>
      </c>
      <c r="J41" s="61"/>
      <c r="K41" s="61">
        <f>K34+K39</f>
        <v>930867.9400000002</v>
      </c>
      <c r="L41" s="61"/>
      <c r="M41" s="61">
        <f>M34+M39</f>
        <v>46358.12000000005</v>
      </c>
      <c r="O41" s="61">
        <f>O34+O39</f>
        <v>1138550.43</v>
      </c>
      <c r="Q41" s="61">
        <f>Q34+Q39</f>
        <v>254040.61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255322.82999999996</v>
      </c>
      <c r="J43" s="62"/>
      <c r="K43" s="62">
        <f>K19-K41</f>
        <v>289581.35999999987</v>
      </c>
      <c r="L43" s="62"/>
      <c r="M43" s="62">
        <f>SUM(M41+M19)</f>
        <v>-34258.530000000115</v>
      </c>
      <c r="O43" s="62">
        <f>O19-O41</f>
        <v>-7429.520000000019</v>
      </c>
      <c r="Q43" s="62">
        <f>Q19+Q41</f>
        <v>262752.35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44681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133</v>
      </c>
      <c r="J5" s="23"/>
      <c r="K5" s="23" t="s">
        <v>114</v>
      </c>
      <c r="L5" s="23"/>
      <c r="M5" s="26" t="s">
        <v>27</v>
      </c>
      <c r="O5" s="23" t="s">
        <v>133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952293.08+249924.23+22000</f>
        <v>1224217.31</v>
      </c>
      <c r="J8" s="4"/>
      <c r="K8" s="4">
        <f>883759.39+317449.53+12450</f>
        <v>1213658.92</v>
      </c>
      <c r="L8" s="4"/>
      <c r="M8" s="4">
        <f aca="true" t="shared" si="0" ref="M8:M14">SUM(I8-K8)</f>
        <v>10558.39000000013</v>
      </c>
      <c r="O8" s="4">
        <f>903837.7+279003.27+10161.42</f>
        <v>1193002.39</v>
      </c>
      <c r="Q8" s="4">
        <f aca="true" t="shared" si="1" ref="Q8:Q14">SUM(I8-O8)</f>
        <v>31214.92000000016</v>
      </c>
      <c r="S8" s="4"/>
      <c r="U8" s="65"/>
      <c r="X8" s="4"/>
    </row>
    <row r="9" spans="4:24" ht="12.75">
      <c r="D9" t="s">
        <v>2</v>
      </c>
      <c r="G9" s="4"/>
      <c r="I9" s="4">
        <v>30220.89</v>
      </c>
      <c r="J9" s="4"/>
      <c r="K9" s="4">
        <v>165649.18</v>
      </c>
      <c r="L9" s="4"/>
      <c r="M9" s="4">
        <f t="shared" si="0"/>
        <v>-135428.28999999998</v>
      </c>
      <c r="O9" s="4">
        <v>21606.45</v>
      </c>
      <c r="Q9" s="4">
        <f t="shared" si="1"/>
        <v>8614.439999999999</v>
      </c>
      <c r="S9" s="4"/>
      <c r="U9" s="65"/>
      <c r="X9" s="4"/>
    </row>
    <row r="10" spans="4:24" ht="12.75">
      <c r="D10" t="s">
        <v>3</v>
      </c>
      <c r="G10" s="4"/>
      <c r="I10" s="4">
        <v>61082.8</v>
      </c>
      <c r="J10" s="4"/>
      <c r="K10" s="4">
        <v>53786.76</v>
      </c>
      <c r="L10" s="4"/>
      <c r="M10" s="4">
        <f t="shared" si="0"/>
        <v>7296.040000000001</v>
      </c>
      <c r="O10" s="4">
        <v>78543.27</v>
      </c>
      <c r="Q10" s="4">
        <f t="shared" si="1"/>
        <v>-17460.47</v>
      </c>
      <c r="S10" s="4"/>
      <c r="U10" s="65"/>
      <c r="X10" s="4"/>
    </row>
    <row r="11" spans="4:24" ht="12.75">
      <c r="D11" t="s">
        <v>31</v>
      </c>
      <c r="G11" s="4"/>
      <c r="I11" s="4">
        <f>574.99+79277</f>
        <v>79851.99</v>
      </c>
      <c r="J11" s="4"/>
      <c r="K11" s="4">
        <f>10392.28+40075</f>
        <v>50467.28</v>
      </c>
      <c r="L11" s="4"/>
      <c r="M11" s="4">
        <f t="shared" si="0"/>
        <v>29384.710000000006</v>
      </c>
      <c r="O11" s="4">
        <f>488.68+94166.66</f>
        <v>94655.34</v>
      </c>
      <c r="Q11" s="4">
        <f t="shared" si="1"/>
        <v>-14803.349999999991</v>
      </c>
      <c r="S11" s="4"/>
      <c r="U11" s="65"/>
      <c r="X11" s="4"/>
    </row>
    <row r="12" spans="4:24" ht="12.75">
      <c r="D12" t="s">
        <v>30</v>
      </c>
      <c r="G12" s="4"/>
      <c r="I12" s="4">
        <v>7803.5</v>
      </c>
      <c r="J12" s="4"/>
      <c r="K12" s="4">
        <v>3594.04</v>
      </c>
      <c r="L12" s="4"/>
      <c r="M12" s="4">
        <f t="shared" si="0"/>
        <v>4209.46</v>
      </c>
      <c r="O12" s="4">
        <v>3516.98</v>
      </c>
      <c r="Q12" s="4">
        <f t="shared" si="1"/>
        <v>4286.52</v>
      </c>
      <c r="S12" s="4"/>
      <c r="U12" s="65"/>
      <c r="X12" s="4"/>
    </row>
    <row r="13" spans="4:24" ht="12.75">
      <c r="D13" t="s">
        <v>29</v>
      </c>
      <c r="G13" s="4"/>
      <c r="I13" s="4">
        <f>25509.96+6616.32</f>
        <v>32126.28</v>
      </c>
      <c r="J13" s="4"/>
      <c r="K13" s="4">
        <f>343.21+7340.53</f>
        <v>7683.74</v>
      </c>
      <c r="L13" s="4"/>
      <c r="M13" s="4">
        <f t="shared" si="0"/>
        <v>24442.54</v>
      </c>
      <c r="O13" s="4">
        <v>6781.03</v>
      </c>
      <c r="Q13" s="4">
        <f t="shared" si="1"/>
        <v>25345.25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1435302.77</v>
      </c>
      <c r="J16" s="5"/>
      <c r="K16" s="5">
        <f>SUM(K8:K14)</f>
        <v>1494839.92</v>
      </c>
      <c r="L16" s="5"/>
      <c r="M16" s="5">
        <f>SUM(M8:M14)</f>
        <v>-59537.14999999983</v>
      </c>
      <c r="N16" s="5"/>
      <c r="O16" s="5">
        <f>SUM(O8:O14)</f>
        <v>1398105.46</v>
      </c>
      <c r="Q16" s="5">
        <f>SUM(Q8:Q14)</f>
        <v>37197.31000000017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1435302.77</v>
      </c>
      <c r="J19" s="61"/>
      <c r="K19" s="61">
        <f>K16</f>
        <v>1494839.92</v>
      </c>
      <c r="L19" s="61"/>
      <c r="M19" s="61">
        <f>M16</f>
        <v>-59537.14999999983</v>
      </c>
      <c r="O19" s="61">
        <f>O16</f>
        <v>1398105.46</v>
      </c>
      <c r="Q19" s="62">
        <f>SUM(I19-O19)</f>
        <v>37197.310000000056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144083.3</v>
      </c>
      <c r="J23" s="4"/>
      <c r="K23" s="4">
        <v>158250</v>
      </c>
      <c r="L23" s="4"/>
      <c r="M23" s="4">
        <f aca="true" t="shared" si="2" ref="M23:M29">SUM(K23-I23)</f>
        <v>14166.700000000012</v>
      </c>
      <c r="O23" s="4">
        <v>145990</v>
      </c>
      <c r="Q23" s="4">
        <f aca="true" t="shared" si="3" ref="Q23:Q32">SUM(O23-I23)</f>
        <v>1906.7000000000116</v>
      </c>
      <c r="S23" s="4"/>
      <c r="U23" s="65"/>
      <c r="X23" s="4"/>
    </row>
    <row r="24" spans="3:24" ht="12.75">
      <c r="C24" t="s">
        <v>9</v>
      </c>
      <c r="G24" s="4"/>
      <c r="I24" s="4">
        <f>58677.1+293896.4+2346.7+55225+46263.15+124.11</f>
        <v>456532.46</v>
      </c>
      <c r="J24" s="4"/>
      <c r="K24" s="4">
        <f>56173+292031.81+2235+51016.1+49156.02</f>
        <v>450611.93</v>
      </c>
      <c r="L24" s="4"/>
      <c r="M24" s="4">
        <f t="shared" si="2"/>
        <v>-5920.530000000028</v>
      </c>
      <c r="O24" s="4">
        <f>53239.84+330349.89+2458.5+56117.71+62848.82</f>
        <v>505014.76</v>
      </c>
      <c r="Q24" s="4">
        <f t="shared" si="3"/>
        <v>48482.29999999999</v>
      </c>
      <c r="S24" s="4"/>
      <c r="U24" s="65"/>
      <c r="X24" s="4"/>
    </row>
    <row r="25" spans="3:24" ht="12.75">
      <c r="C25" s="3" t="s">
        <v>106</v>
      </c>
      <c r="G25" s="4"/>
      <c r="I25" s="4">
        <v>91316.68</v>
      </c>
      <c r="J25" s="4"/>
      <c r="K25" s="4">
        <v>106673.13</v>
      </c>
      <c r="L25" s="4"/>
      <c r="M25" s="4">
        <f t="shared" si="2"/>
        <v>15356.450000000012</v>
      </c>
      <c r="O25" s="4">
        <v>113756.55</v>
      </c>
      <c r="Q25" s="4">
        <f t="shared" si="3"/>
        <v>22439.87000000001</v>
      </c>
      <c r="S25" s="4"/>
      <c r="U25" s="65"/>
      <c r="X25" s="4"/>
    </row>
    <row r="26" spans="3:24" ht="12.75">
      <c r="C26" t="s">
        <v>33</v>
      </c>
      <c r="G26" s="4"/>
      <c r="I26" s="4">
        <f>90992.85+13860.86+4978.69+13505.13</f>
        <v>123337.53000000001</v>
      </c>
      <c r="J26" s="4" t="s">
        <v>18</v>
      </c>
      <c r="K26" s="4">
        <f>96207.47+18846.15+5780.66+11467.41</f>
        <v>132301.69</v>
      </c>
      <c r="L26" s="4"/>
      <c r="M26" s="4">
        <f t="shared" si="2"/>
        <v>8964.159999999989</v>
      </c>
      <c r="O26" s="4">
        <f>99277.55+30881.39+8199.24+20960.36</f>
        <v>159318.53999999998</v>
      </c>
      <c r="Q26" s="4">
        <f t="shared" si="3"/>
        <v>35981.009999999966</v>
      </c>
      <c r="S26" s="4"/>
      <c r="U26" s="65"/>
      <c r="X26" s="4"/>
    </row>
    <row r="27" spans="3:24" ht="12.75">
      <c r="C27" t="s">
        <v>10</v>
      </c>
      <c r="G27" s="4"/>
      <c r="I27" s="4">
        <v>43626.86</v>
      </c>
      <c r="J27" s="4"/>
      <c r="K27" s="4">
        <v>35639.09</v>
      </c>
      <c r="L27" s="4"/>
      <c r="M27" s="4">
        <f t="shared" si="2"/>
        <v>-7987.770000000004</v>
      </c>
      <c r="O27" s="4">
        <v>83457.72</v>
      </c>
      <c r="Q27" s="4">
        <f t="shared" si="3"/>
        <v>39830.86</v>
      </c>
      <c r="S27" s="4"/>
      <c r="U27" s="65"/>
      <c r="X27" s="4"/>
    </row>
    <row r="28" spans="3:24" ht="12.75">
      <c r="C28" t="s">
        <v>11</v>
      </c>
      <c r="G28" s="4"/>
      <c r="I28" s="4">
        <v>7777.01</v>
      </c>
      <c r="J28" s="4"/>
      <c r="K28" s="4">
        <v>8157.39</v>
      </c>
      <c r="L28" s="4"/>
      <c r="M28" s="4">
        <f t="shared" si="2"/>
        <v>380.3800000000001</v>
      </c>
      <c r="O28" s="4">
        <v>13177.29</v>
      </c>
      <c r="Q28" s="4">
        <f t="shared" si="3"/>
        <v>5400.280000000001</v>
      </c>
      <c r="S28" s="4"/>
      <c r="U28" s="65"/>
      <c r="X28" s="4"/>
    </row>
    <row r="29" spans="3:24" ht="12.75">
      <c r="C29" s="3" t="s">
        <v>40</v>
      </c>
      <c r="G29" s="4"/>
      <c r="I29" s="4">
        <f>59063.43+5512.88+4373.51</f>
        <v>68949.81999999999</v>
      </c>
      <c r="J29" s="4"/>
      <c r="K29" s="4">
        <f>78209.77+5874.2+10077.49</f>
        <v>94161.46</v>
      </c>
      <c r="L29" s="4"/>
      <c r="M29" s="4">
        <f t="shared" si="2"/>
        <v>25211.640000000014</v>
      </c>
      <c r="O29" s="4">
        <f>153864.45+31736.24+29654.35</f>
        <v>215255.04</v>
      </c>
      <c r="Q29" s="4">
        <f t="shared" si="3"/>
        <v>146305.22000000003</v>
      </c>
      <c r="S29" s="4"/>
      <c r="U29" s="65"/>
      <c r="X29" s="4"/>
    </row>
    <row r="30" spans="3:24" ht="12.75">
      <c r="C30" s="47" t="s">
        <v>41</v>
      </c>
      <c r="G30" s="4"/>
      <c r="I30" s="4">
        <f>32554.94+10731.5+22895.32</f>
        <v>66181.76000000001</v>
      </c>
      <c r="J30" s="4"/>
      <c r="K30" s="4">
        <f>28308.55+11051.24+23922.94</f>
        <v>63282.729999999996</v>
      </c>
      <c r="L30" s="4"/>
      <c r="M30" s="4">
        <f>SUM(K30-I30)</f>
        <v>-2899.0300000000134</v>
      </c>
      <c r="O30" s="4">
        <f>33832.4+10340.45+32210.95</f>
        <v>76383.8</v>
      </c>
      <c r="Q30" s="4">
        <f t="shared" si="3"/>
        <v>10202.039999999994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 t="shared" si="3"/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 t="shared" si="3"/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1001805.4199999999</v>
      </c>
      <c r="J34" s="5"/>
      <c r="K34" s="5">
        <f>SUM(K23:K32)</f>
        <v>1049077.42</v>
      </c>
      <c r="L34" s="5"/>
      <c r="M34" s="5">
        <f>SUM(M23:M32)</f>
        <v>47271.999999999985</v>
      </c>
      <c r="N34" s="4"/>
      <c r="O34" s="5">
        <f>SUM(O23:O32)</f>
        <v>1312353.7000000002</v>
      </c>
      <c r="Q34" s="5">
        <f>SUM(Q23:Q32)</f>
        <v>310548.27999999997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109750</v>
      </c>
      <c r="J37" s="4"/>
      <c r="K37" s="4">
        <v>131000</v>
      </c>
      <c r="L37" s="4"/>
      <c r="M37" s="4">
        <f>SUM(K37-I37)</f>
        <v>21250</v>
      </c>
      <c r="O37" s="4">
        <v>117750</v>
      </c>
      <c r="Q37" s="4">
        <f>SUM(O37-I37)</f>
        <v>8000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109750</v>
      </c>
      <c r="J39" s="5"/>
      <c r="K39" s="5">
        <f>SUM(K37:K37)</f>
        <v>131000</v>
      </c>
      <c r="L39" s="5"/>
      <c r="M39" s="4">
        <f>SUM(K39-I39)</f>
        <v>21250</v>
      </c>
      <c r="N39" s="5"/>
      <c r="O39" s="5">
        <f>SUM(O37:O37)</f>
        <v>117750</v>
      </c>
      <c r="Q39" s="4">
        <f>SUM(O39-I39)</f>
        <v>8000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1111555.42</v>
      </c>
      <c r="J41" s="61"/>
      <c r="K41" s="61">
        <f>K34+K39</f>
        <v>1180077.42</v>
      </c>
      <c r="L41" s="61"/>
      <c r="M41" s="61">
        <f>M34+M39</f>
        <v>68521.99999999999</v>
      </c>
      <c r="O41" s="61">
        <f>O34+O39</f>
        <v>1430103.7000000002</v>
      </c>
      <c r="Q41" s="61">
        <f>Q34+Q39</f>
        <v>318548.27999999997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323747.3500000001</v>
      </c>
      <c r="J43" s="62"/>
      <c r="K43" s="62">
        <f>K19-K41</f>
        <v>314762.5</v>
      </c>
      <c r="L43" s="62"/>
      <c r="M43" s="62">
        <f>SUM(M41+M19)</f>
        <v>8984.850000000159</v>
      </c>
      <c r="O43" s="62">
        <f>O19-O41</f>
        <v>-31998.240000000224</v>
      </c>
      <c r="Q43" s="62">
        <f>Q19+Q41</f>
        <v>355745.59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Cheryl Ryan</cp:lastModifiedBy>
  <cp:lastPrinted>2022-05-09T12:42:14Z</cp:lastPrinted>
  <dcterms:created xsi:type="dcterms:W3CDTF">2007-09-18T18:03:12Z</dcterms:created>
  <dcterms:modified xsi:type="dcterms:W3CDTF">2022-10-12T14:45:58Z</dcterms:modified>
  <cp:category/>
  <cp:version/>
  <cp:contentType/>
  <cp:contentStatus/>
</cp:coreProperties>
</file>